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Envirosbox\Enviros\Projects\ECZ18054_TA_CMZRB_Verifikace_uspornych_projektu\Data\Úspory energie\Kalkulačka - nástroj\FVE verze 12\"/>
    </mc:Choice>
  </mc:AlternateContent>
  <bookViews>
    <workbookView xWindow="-120" yWindow="-60" windowWidth="16965" windowHeight="11760" tabRatio="618"/>
  </bookViews>
  <sheets>
    <sheet name="Hlavní list" sheetId="19" r:id="rId1"/>
    <sheet name="FVE" sheetId="26" r:id="rId2"/>
    <sheet name="Zateplení" sheetId="4" r:id="rId3"/>
    <sheet name="Kotel" sheetId="1" r:id="rId4"/>
    <sheet name="Osvetlení" sheetId="16" r:id="rId5"/>
    <sheet name="parametry" sheetId="14" r:id="rId6"/>
    <sheet name="Osvetlení_parametry" sheetId="18" r:id="rId7"/>
    <sheet name="budova" sheetId="22" r:id="rId8"/>
    <sheet name="budova_opatření" sheetId="23" r:id="rId9"/>
    <sheet name="opatření k realizaci" sheetId="24" r:id="rId10"/>
    <sheet name="Tisk" sheetId="20" r:id="rId11"/>
    <sheet name="export dat" sheetId="25" r:id="rId12"/>
  </sheets>
  <definedNames>
    <definedName name="_xlnm._FilterDatabase" localSheetId="5" hidden="1">parametry!$N$1:$N$1</definedName>
    <definedName name="ano_ne">parametry!$B$61:$B$62</definedName>
    <definedName name="centrální_zásobování_teplem">parametry!$S$2:$S$8</definedName>
    <definedName name="data_okna_kce">#REF!</definedName>
    <definedName name="data_okna_op">#REF!</definedName>
    <definedName name="data_ploch_strecha_kce">#REF!</definedName>
    <definedName name="data_ploch_strecha_op">#REF!</definedName>
    <definedName name="data_ploch_strecha_tl_iz">#REF!</definedName>
    <definedName name="data_steny_kce">#REF!</definedName>
    <definedName name="data_steny_op">#REF!</definedName>
    <definedName name="data_steny_tl_iz">#REF!</definedName>
    <definedName name="data_str_okna">#REF!</definedName>
    <definedName name="data_str_okna_kce">#REF!</definedName>
    <definedName name="data_str_okna_op">#REF!</definedName>
    <definedName name="data_zdroj_rek">#REF!</definedName>
    <definedName name="data_zdroj_rok">#REF!</definedName>
    <definedName name="data_zdroj_syst_riz_rok">#REF!</definedName>
    <definedName name="data_zdroj_tč">#REF!</definedName>
    <definedName name="data_zdroj_tč_typ">#REF!</definedName>
    <definedName name="data_zdroj_typ">#REF!</definedName>
    <definedName name="data_zdroj_typ_včTČ">#REF!</definedName>
    <definedName name="elektrokotel">parametry!$P$2</definedName>
    <definedName name="GJ_na_kWh">parametry!$B$85</definedName>
    <definedName name="hodiny">Osvetlení!$E$37</definedName>
    <definedName name="CheckBox3">"Check Box 3"</definedName>
    <definedName name="klasika">Osvetlení!$F$68:$G$74</definedName>
    <definedName name="kontrola">parametry!$E$113</definedName>
    <definedName name="kotel_na_topný_olej">parametry!$Q$2</definedName>
    <definedName name="kotel_na_tuhá_paliva">parametry!$N$2:$N$5</definedName>
    <definedName name="kotel_na_zemní_plyn">parametry!$O$2</definedName>
    <definedName name="kotel_stáří">parametry!$A$26:$A$29</definedName>
    <definedName name="kWh_na_GJ">parametry!$B$86</definedName>
    <definedName name="napěťová_hladina">parametry!$A$215:$A$219</definedName>
    <definedName name="new_boiler">parametry!$L$42</definedName>
    <definedName name="nový_kotel">parametry!$A$45:$A$47</definedName>
    <definedName name="obdobi_vystavby" localSheetId="5">parametry!#REF!</definedName>
    <definedName name="_xlnm.Print_Area" localSheetId="10">Tisk!$A$1:$G$92</definedName>
    <definedName name="_xlnm.Print_Area" localSheetId="2">Zateplení!$B$1:$F$110</definedName>
    <definedName name="old_boiler">parametry!#REF!</definedName>
    <definedName name="paliva">parametry!$A$52:$A$58</definedName>
    <definedName name="palivo_kogenerace_elektřina">parametry!$A$210:$A$212</definedName>
    <definedName name="palivo_kogenerace_teplo">parametry!$A$205:$A$207</definedName>
    <definedName name="Podlaha" localSheetId="5">parametry!$B$28</definedName>
    <definedName name="print">Tisk!$A$1:$E$91</definedName>
    <definedName name="roky">parametry!$A$153:$A$158</definedName>
    <definedName name="starý_kotel">parametry!$A$34:$A$39</definedName>
    <definedName name="tepelné_čerpadlo">parametry!$R$2:$R$8</definedName>
    <definedName name="yes_no">parametry!$A$61:$A$62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15" i="1"/>
  <c r="C26" i="1" s="1"/>
  <c r="D25" i="19" l="1"/>
  <c r="F8" i="26" l="1"/>
  <c r="F4" i="26"/>
  <c r="F5" i="26"/>
  <c r="F10" i="26" l="1"/>
  <c r="D16" i="24" s="1"/>
  <c r="I16" i="24"/>
  <c r="EK5" i="25" l="1"/>
  <c r="EJ5" i="25"/>
  <c r="EI5" i="25"/>
  <c r="EH5" i="25"/>
  <c r="EG5" i="25"/>
  <c r="EK4" i="25"/>
  <c r="EJ4" i="25"/>
  <c r="EI4" i="25"/>
  <c r="EH4" i="25"/>
  <c r="EG4" i="25"/>
  <c r="AF12" i="24" l="1"/>
  <c r="N93" i="14"/>
  <c r="N96" i="14" s="1"/>
  <c r="D112" i="14"/>
  <c r="E112" i="14" s="1"/>
  <c r="C31" i="19"/>
  <c r="N92" i="14"/>
  <c r="N90" i="14"/>
  <c r="N87" i="14"/>
  <c r="N89" i="14" s="1"/>
  <c r="N94" i="14"/>
  <c r="N100" i="14" s="1"/>
  <c r="N97" i="14"/>
  <c r="N91" i="14"/>
  <c r="N5" i="25"/>
  <c r="N98" i="14" l="1"/>
  <c r="N99" i="14"/>
  <c r="N101" i="14" s="1"/>
  <c r="N95" i="14"/>
  <c r="Q4" i="24"/>
  <c r="E16" i="24"/>
  <c r="D10" i="26"/>
  <c r="H13" i="4" l="1"/>
  <c r="O21" i="1"/>
  <c r="P20" i="1"/>
  <c r="K19" i="1"/>
  <c r="K16" i="1"/>
  <c r="F17" i="1" s="1"/>
  <c r="K15" i="1"/>
  <c r="K14" i="1"/>
  <c r="D7" i="1"/>
  <c r="G76" i="14"/>
  <c r="DY5" i="25" l="1"/>
  <c r="C7" i="1" l="1"/>
  <c r="H6" i="4" l="1"/>
  <c r="H7" i="4"/>
  <c r="D6" i="20" l="1"/>
  <c r="D7" i="20"/>
  <c r="D8" i="20"/>
  <c r="D9" i="20"/>
  <c r="D10" i="20"/>
  <c r="D11" i="20"/>
  <c r="F37" i="20"/>
  <c r="F38" i="20"/>
  <c r="F39" i="20"/>
  <c r="B89" i="20"/>
  <c r="M4" i="1" l="1"/>
  <c r="K7" i="1" l="1"/>
  <c r="P21" i="1" l="1"/>
  <c r="K17" i="1"/>
  <c r="K13" i="1"/>
  <c r="K10" i="1"/>
  <c r="K9" i="1"/>
  <c r="K8" i="1"/>
  <c r="K6" i="1"/>
  <c r="K5" i="1"/>
  <c r="K4" i="1"/>
  <c r="E34" i="14" l="1"/>
  <c r="E35" i="14" s="1"/>
  <c r="L4" i="16" l="1"/>
  <c r="I17" i="14" l="1"/>
  <c r="I16" i="14"/>
  <c r="I15" i="14"/>
  <c r="I14" i="14"/>
  <c r="I13" i="14"/>
  <c r="I12" i="14"/>
  <c r="I11" i="14"/>
  <c r="I10" i="14"/>
  <c r="I9" i="14"/>
  <c r="I8" i="14"/>
  <c r="I7" i="14"/>
  <c r="I6" i="14"/>
  <c r="I5" i="14"/>
  <c r="I4" i="14"/>
  <c r="I3" i="14"/>
  <c r="I2" i="14"/>
  <c r="F31" i="16" l="1"/>
  <c r="F25" i="16"/>
  <c r="F19" i="16"/>
  <c r="F13" i="16"/>
  <c r="F7" i="16"/>
  <c r="G13" i="4" l="1"/>
  <c r="G9" i="4"/>
  <c r="L52" i="14" l="1"/>
  <c r="L59" i="14"/>
  <c r="L58" i="14"/>
  <c r="L57" i="14"/>
  <c r="L56" i="14"/>
  <c r="L54" i="14"/>
  <c r="L55" i="14"/>
  <c r="L53" i="14"/>
  <c r="H103" i="4" l="1"/>
  <c r="G94" i="4"/>
  <c r="H104" i="4" l="1"/>
  <c r="B137" i="14"/>
  <c r="C28" i="19" l="1"/>
  <c r="F104" i="4"/>
  <c r="I5" i="25"/>
  <c r="H5" i="25"/>
  <c r="G5" i="25"/>
  <c r="J5" i="25" l="1"/>
  <c r="F40" i="20"/>
  <c r="D3" i="24"/>
  <c r="G75" i="14"/>
  <c r="F6" i="1"/>
  <c r="F78" i="20" l="1"/>
  <c r="L40" i="16"/>
  <c r="L41" i="16" l="1"/>
  <c r="E41" i="16" s="1"/>
  <c r="E5" i="25"/>
  <c r="D5" i="25"/>
  <c r="F7" i="1" l="1"/>
  <c r="D10" i="24" l="1"/>
  <c r="D13" i="24"/>
  <c r="D12" i="24"/>
  <c r="D11" i="24"/>
  <c r="D14" i="24"/>
  <c r="D15" i="24"/>
  <c r="D9" i="24"/>
  <c r="D8" i="24"/>
  <c r="D7" i="24"/>
  <c r="D6" i="24"/>
  <c r="D5" i="24"/>
  <c r="D4" i="24"/>
  <c r="H101" i="4" l="1"/>
  <c r="C27" i="1"/>
  <c r="F5" i="25"/>
  <c r="B5" i="25"/>
  <c r="A5" i="25"/>
  <c r="F16" i="1" l="1"/>
  <c r="H102" i="4" l="1"/>
  <c r="B136" i="14"/>
  <c r="K21" i="1" l="1"/>
  <c r="K23" i="1" s="1"/>
  <c r="E22" i="1" s="1"/>
  <c r="F23" i="4"/>
  <c r="C106" i="4" s="1"/>
  <c r="M21" i="1"/>
  <c r="H17" i="4"/>
  <c r="H79" i="4"/>
  <c r="H88" i="4"/>
  <c r="H82" i="4"/>
  <c r="H74" i="4"/>
  <c r="H66" i="4"/>
  <c r="H80" i="4"/>
  <c r="H72" i="4"/>
  <c r="H64" i="4"/>
  <c r="H62" i="4"/>
  <c r="H78" i="4"/>
  <c r="H70" i="4"/>
  <c r="C29" i="19" l="1"/>
  <c r="H71" i="4"/>
  <c r="H97" i="4"/>
  <c r="H96" i="4"/>
  <c r="H95" i="4"/>
  <c r="H91" i="4"/>
  <c r="H90" i="4"/>
  <c r="H89" i="4"/>
  <c r="H85" i="4"/>
  <c r="H84" i="4"/>
  <c r="H83" i="4"/>
  <c r="H77" i="4"/>
  <c r="H76" i="4"/>
  <c r="H75" i="4"/>
  <c r="H61" i="4"/>
  <c r="H69" i="4"/>
  <c r="H68" i="4"/>
  <c r="H67" i="4"/>
  <c r="H60" i="4"/>
  <c r="H59" i="4"/>
  <c r="H4" i="4"/>
  <c r="H63" i="4" l="1"/>
  <c r="E293" i="22"/>
  <c r="D293" i="22"/>
  <c r="D292" i="22"/>
  <c r="E291" i="22"/>
  <c r="D291" i="22"/>
  <c r="D290" i="22"/>
  <c r="E297" i="22"/>
  <c r="D297" i="22"/>
  <c r="D296" i="22"/>
  <c r="E295" i="22"/>
  <c r="D295" i="22"/>
  <c r="D294" i="22"/>
  <c r="D286" i="22"/>
  <c r="D285" i="22"/>
  <c r="D284" i="22"/>
  <c r="D280" i="22"/>
  <c r="D279" i="22"/>
  <c r="D278" i="22"/>
  <c r="D274" i="22"/>
  <c r="D273" i="22"/>
  <c r="D272" i="22"/>
  <c r="D271" i="22"/>
  <c r="D268" i="22"/>
  <c r="D267" i="22"/>
  <c r="D266" i="22"/>
  <c r="D262" i="22"/>
  <c r="D261" i="22"/>
  <c r="D260" i="22"/>
  <c r="D182" i="22"/>
  <c r="D181" i="22"/>
  <c r="D180" i="22"/>
  <c r="D179" i="22"/>
  <c r="D178" i="22"/>
  <c r="D177" i="22"/>
  <c r="D176" i="22"/>
  <c r="D175" i="22"/>
  <c r="D174" i="22"/>
  <c r="D173" i="22"/>
  <c r="D172" i="22"/>
  <c r="D171" i="22"/>
  <c r="D170" i="22"/>
  <c r="D169" i="22"/>
  <c r="D168" i="22"/>
  <c r="D167" i="22"/>
  <c r="D190" i="22"/>
  <c r="D189" i="22"/>
  <c r="D188" i="22"/>
  <c r="D187" i="22"/>
  <c r="D186" i="22"/>
  <c r="D185" i="22"/>
  <c r="D184" i="22"/>
  <c r="D183" i="22"/>
  <c r="D248" i="22"/>
  <c r="D240" i="22"/>
  <c r="D241" i="22"/>
  <c r="D242" i="22"/>
  <c r="D235" i="22"/>
  <c r="D234" i="22"/>
  <c r="D233" i="22"/>
  <c r="D232" i="22"/>
  <c r="D231" i="22"/>
  <c r="D230" i="22"/>
  <c r="D229" i="22"/>
  <c r="D228" i="22"/>
  <c r="D227" i="22"/>
  <c r="D226" i="22"/>
  <c r="D225" i="22"/>
  <c r="D224" i="22"/>
  <c r="D223" i="22"/>
  <c r="D222" i="22"/>
  <c r="D221" i="22"/>
  <c r="D220" i="22"/>
  <c r="D219" i="22"/>
  <c r="D218" i="22"/>
  <c r="D217" i="22"/>
  <c r="D216" i="22"/>
  <c r="D215" i="22"/>
  <c r="D207" i="22"/>
  <c r="D206" i="22"/>
  <c r="D205" i="22"/>
  <c r="D198" i="22"/>
  <c r="D197" i="22"/>
  <c r="N3" i="24"/>
  <c r="K83" i="14" l="1"/>
  <c r="E89" i="14"/>
  <c r="DW5" i="25" l="1"/>
  <c r="DX5" i="25"/>
  <c r="DV5" i="25"/>
  <c r="DR5" i="25"/>
  <c r="DS5" i="25"/>
  <c r="DT5" i="25"/>
  <c r="DU5" i="25"/>
  <c r="L33" i="16"/>
  <c r="DM5" i="25"/>
  <c r="DN5" i="25"/>
  <c r="DO5" i="25"/>
  <c r="DP5" i="25"/>
  <c r="DQ5" i="25"/>
  <c r="DH5" i="25"/>
  <c r="DI5" i="25"/>
  <c r="DJ5" i="25"/>
  <c r="DK5" i="25"/>
  <c r="DL5" i="25"/>
  <c r="DC5" i="25"/>
  <c r="DD5" i="25"/>
  <c r="DE5" i="25"/>
  <c r="DF5" i="25"/>
  <c r="DG5" i="25"/>
  <c r="DB5" i="25"/>
  <c r="L27" i="16"/>
  <c r="L21" i="16"/>
  <c r="L15" i="16"/>
  <c r="L9" i="16"/>
  <c r="CX5" i="25"/>
  <c r="CY5" i="25"/>
  <c r="CZ5" i="25"/>
  <c r="DA5" i="25"/>
  <c r="CW5" i="25"/>
  <c r="CV5" i="25"/>
  <c r="CU5" i="25"/>
  <c r="CT5" i="25"/>
  <c r="CS5" i="25"/>
  <c r="CR5" i="25"/>
  <c r="CP5" i="25"/>
  <c r="CO5" i="25"/>
  <c r="G8" i="4" l="1"/>
  <c r="H98" i="4"/>
  <c r="H93" i="4"/>
  <c r="H86" i="4"/>
  <c r="G191" i="14"/>
  <c r="G190" i="14"/>
  <c r="G189" i="14"/>
  <c r="H100" i="4"/>
  <c r="H94" i="4"/>
  <c r="H58" i="4"/>
  <c r="C110" i="4" l="1"/>
  <c r="CN5" i="25"/>
  <c r="CL5" i="25"/>
  <c r="CK5" i="25"/>
  <c r="CJ5" i="25"/>
  <c r="CI5" i="25"/>
  <c r="CH5" i="25"/>
  <c r="E86" i="14" l="1"/>
  <c r="H23" i="4" l="1"/>
  <c r="AD5" i="25"/>
  <c r="AC5" i="25"/>
  <c r="AB5" i="25"/>
  <c r="AA5" i="25"/>
  <c r="Z5" i="25"/>
  <c r="CF5" i="25"/>
  <c r="CE5" i="25"/>
  <c r="CD5" i="25"/>
  <c r="CA5" i="25"/>
  <c r="BZ5" i="25"/>
  <c r="BY5" i="25"/>
  <c r="BX5" i="25"/>
  <c r="BU5" i="25"/>
  <c r="BT5" i="25"/>
  <c r="BS5" i="25"/>
  <c r="BR5" i="25"/>
  <c r="BO5" i="25"/>
  <c r="BN5" i="25"/>
  <c r="BM5" i="25"/>
  <c r="BL5" i="25"/>
  <c r="BH5" i="25"/>
  <c r="BG5" i="25"/>
  <c r="BF5" i="25"/>
  <c r="BE5" i="25"/>
  <c r="BD5" i="25"/>
  <c r="AZ5" i="25"/>
  <c r="AY5" i="25"/>
  <c r="AX5" i="25"/>
  <c r="AW5" i="25"/>
  <c r="AV5" i="25"/>
  <c r="AR5" i="25"/>
  <c r="AQ5" i="25"/>
  <c r="AP5" i="25"/>
  <c r="AO5" i="25"/>
  <c r="AN5" i="25"/>
  <c r="AM5" i="25"/>
  <c r="AL5" i="25"/>
  <c r="AK5" i="25"/>
  <c r="AJ5" i="25"/>
  <c r="AI5" i="25"/>
  <c r="AH5" i="25"/>
  <c r="AG5" i="25"/>
  <c r="AF5" i="25"/>
  <c r="I58" i="4"/>
  <c r="G20" i="4"/>
  <c r="H18" i="4"/>
  <c r="Y5" i="25"/>
  <c r="X5" i="25"/>
  <c r="W5" i="25"/>
  <c r="V5" i="25"/>
  <c r="H27" i="19" l="1"/>
  <c r="AE5" i="25"/>
  <c r="G23" i="4"/>
  <c r="U5" i="25"/>
  <c r="T5" i="25"/>
  <c r="S5" i="25"/>
  <c r="R5" i="25"/>
  <c r="H8" i="4"/>
  <c r="Q5" i="25"/>
  <c r="P5" i="25"/>
  <c r="O5" i="25"/>
  <c r="M5" i="25"/>
  <c r="L5" i="25"/>
  <c r="K5" i="25"/>
  <c r="C5" i="25"/>
  <c r="D110" i="14" l="1"/>
  <c r="AE15" i="24"/>
  <c r="AE14" i="24"/>
  <c r="AE13" i="24"/>
  <c r="AE12" i="24"/>
  <c r="AE11" i="24"/>
  <c r="AC10" i="24"/>
  <c r="AB10" i="24"/>
  <c r="Y9" i="24"/>
  <c r="X9" i="24"/>
  <c r="W9" i="24"/>
  <c r="Y8" i="24"/>
  <c r="X8" i="24"/>
  <c r="W8" i="24"/>
  <c r="Y7" i="24"/>
  <c r="X7" i="24"/>
  <c r="W7" i="24"/>
  <c r="S6" i="24"/>
  <c r="R6" i="24"/>
  <c r="Q6" i="24"/>
  <c r="P6" i="24"/>
  <c r="I10" i="24" l="1"/>
  <c r="I6" i="24"/>
  <c r="I8" i="24"/>
  <c r="I7" i="24"/>
  <c r="I9" i="24"/>
  <c r="S5" i="24"/>
  <c r="R5" i="24"/>
  <c r="Q5" i="24"/>
  <c r="P5" i="24"/>
  <c r="S4" i="24"/>
  <c r="R4" i="24"/>
  <c r="P4" i="24"/>
  <c r="L3" i="24"/>
  <c r="K3" i="24"/>
  <c r="J3" i="24" s="1"/>
  <c r="I4" i="24" l="1"/>
  <c r="I5" i="24"/>
  <c r="H14" i="4" l="1"/>
  <c r="E15" i="24"/>
  <c r="E14" i="24"/>
  <c r="E13" i="24"/>
  <c r="E12" i="24"/>
  <c r="E11" i="24"/>
  <c r="J26" i="4" l="1"/>
  <c r="E10" i="24"/>
  <c r="E9" i="24"/>
  <c r="E8" i="24"/>
  <c r="E7" i="24"/>
  <c r="E6" i="24"/>
  <c r="E5" i="24"/>
  <c r="E4" i="24"/>
  <c r="E3" i="24"/>
  <c r="F3" i="24" s="1"/>
  <c r="F4" i="24" l="1"/>
  <c r="G4" i="24" s="1"/>
  <c r="G3" i="24"/>
  <c r="G110" i="4"/>
  <c r="C28" i="1"/>
  <c r="F5" i="24" l="1"/>
  <c r="G5" i="24" s="1"/>
  <c r="G12" i="4"/>
  <c r="F6" i="24" l="1"/>
  <c r="G6" i="24" s="1"/>
  <c r="B192" i="14"/>
  <c r="B191" i="14"/>
  <c r="M191" i="14" s="1"/>
  <c r="B190" i="14"/>
  <c r="B189" i="14"/>
  <c r="B188" i="14"/>
  <c r="B187" i="14"/>
  <c r="B186" i="14"/>
  <c r="D76" i="14"/>
  <c r="E76" i="14" s="1"/>
  <c r="D75" i="14"/>
  <c r="E75" i="14" s="1"/>
  <c r="M3" i="24"/>
  <c r="I3" i="24" s="1"/>
  <c r="F7" i="24" l="1"/>
  <c r="G7" i="24" s="1"/>
  <c r="CM5" i="25"/>
  <c r="CQ5" i="25"/>
  <c r="F8" i="24" l="1"/>
  <c r="G8" i="24" s="1"/>
  <c r="H12" i="4"/>
  <c r="H11" i="4"/>
  <c r="F9" i="24" l="1"/>
  <c r="G22" i="4"/>
  <c r="G21" i="4"/>
  <c r="G101" i="4"/>
  <c r="CG5" i="25" l="1"/>
  <c r="F10" i="24"/>
  <c r="G10" i="24" s="1"/>
  <c r="G9" i="24"/>
  <c r="AD10" i="24"/>
  <c r="J10" i="24" s="1"/>
  <c r="H191" i="14"/>
  <c r="H190" i="14"/>
  <c r="F11" i="24" l="1"/>
  <c r="H5" i="4"/>
  <c r="H19" i="4"/>
  <c r="H20" i="4"/>
  <c r="H21" i="4"/>
  <c r="H22" i="4"/>
  <c r="F12" i="24" l="1"/>
  <c r="G12" i="24" s="1"/>
  <c r="G11" i="24"/>
  <c r="I26" i="4"/>
  <c r="H26" i="4" s="1"/>
  <c r="H29" i="4"/>
  <c r="H30" i="4"/>
  <c r="H31" i="4"/>
  <c r="I74" i="4"/>
  <c r="I66" i="4"/>
  <c r="H32" i="4"/>
  <c r="I82" i="4"/>
  <c r="I88" i="4"/>
  <c r="I94" i="4"/>
  <c r="H9" i="4"/>
  <c r="H10" i="4"/>
  <c r="F13" i="24" l="1"/>
  <c r="G13" i="24" s="1"/>
  <c r="N188" i="14"/>
  <c r="N187" i="14"/>
  <c r="N186" i="14"/>
  <c r="F14" i="24" l="1"/>
  <c r="G188" i="14"/>
  <c r="G187" i="14"/>
  <c r="G186" i="14"/>
  <c r="E187" i="14"/>
  <c r="E188" i="14"/>
  <c r="D188" i="14"/>
  <c r="D187" i="14"/>
  <c r="D186" i="14"/>
  <c r="N191" i="14"/>
  <c r="N190" i="14"/>
  <c r="N189" i="14"/>
  <c r="D190" i="14"/>
  <c r="B141" i="14"/>
  <c r="C141" i="14" s="1"/>
  <c r="B149" i="14"/>
  <c r="B138" i="14"/>
  <c r="H189" i="14"/>
  <c r="B170" i="14"/>
  <c r="B168" i="14"/>
  <c r="A168" i="14"/>
  <c r="A188" i="14" s="1"/>
  <c r="B167" i="14"/>
  <c r="A167" i="14"/>
  <c r="A187" i="14" s="1"/>
  <c r="G46" i="4"/>
  <c r="H34" i="4"/>
  <c r="D304" i="22"/>
  <c r="D303" i="22"/>
  <c r="E301" i="22"/>
  <c r="D302" i="22"/>
  <c r="D299" i="22"/>
  <c r="D301" i="22"/>
  <c r="D300" i="22"/>
  <c r="D298" i="22"/>
  <c r="F15" i="24" l="1"/>
  <c r="G14" i="24"/>
  <c r="B145" i="14"/>
  <c r="P192" i="14" s="1"/>
  <c r="L85" i="14" s="1"/>
  <c r="L94" i="14" s="1"/>
  <c r="G15" i="24" l="1"/>
  <c r="F16" i="24"/>
  <c r="G16" i="24" s="1"/>
  <c r="L100" i="14"/>
  <c r="L97" i="14"/>
  <c r="P191" i="14"/>
  <c r="O192" i="14"/>
  <c r="L84" i="14" s="1"/>
  <c r="P190" i="14"/>
  <c r="P189" i="14"/>
  <c r="H3" i="24" l="1"/>
  <c r="C21" i="24" s="1"/>
  <c r="B53" i="19" s="1"/>
  <c r="H4" i="24"/>
  <c r="C22" i="24" s="1"/>
  <c r="B54" i="19" s="1"/>
  <c r="H6" i="24"/>
  <c r="C24" i="24" s="1"/>
  <c r="H5" i="24"/>
  <c r="C23" i="24" s="1"/>
  <c r="B55" i="19" s="1"/>
  <c r="H12" i="24"/>
  <c r="C30" i="24" s="1"/>
  <c r="A70" i="20" s="1"/>
  <c r="H7" i="24"/>
  <c r="C25" i="24" s="1"/>
  <c r="B57" i="19" s="1"/>
  <c r="H9" i="24"/>
  <c r="C27" i="24" s="1"/>
  <c r="A67" i="20" s="1"/>
  <c r="H8" i="24"/>
  <c r="C26" i="24" s="1"/>
  <c r="B58" i="19" s="1"/>
  <c r="H10" i="24"/>
  <c r="C28" i="24" s="1"/>
  <c r="H11" i="24"/>
  <c r="C29" i="24" s="1"/>
  <c r="A69" i="20" s="1"/>
  <c r="H13" i="24"/>
  <c r="C31" i="24" s="1"/>
  <c r="B63" i="19" s="1"/>
  <c r="H16" i="24"/>
  <c r="C34" i="24" s="1"/>
  <c r="H15" i="24"/>
  <c r="C33" i="24" s="1"/>
  <c r="B65" i="19" s="1"/>
  <c r="H14" i="24"/>
  <c r="C32" i="24" s="1"/>
  <c r="B64" i="19" s="1"/>
  <c r="L91" i="14"/>
  <c r="L88" i="14"/>
  <c r="L87" i="14"/>
  <c r="L86" i="14"/>
  <c r="D265" i="22"/>
  <c r="D259" i="22"/>
  <c r="D214" i="22"/>
  <c r="D213" i="22"/>
  <c r="D210" i="22"/>
  <c r="D209" i="22"/>
  <c r="D166" i="22"/>
  <c r="D117" i="22"/>
  <c r="D95" i="22"/>
  <c r="D94" i="22"/>
  <c r="D110" i="22"/>
  <c r="D108" i="22"/>
  <c r="D109" i="22"/>
  <c r="E116" i="22"/>
  <c r="E115" i="22"/>
  <c r="E114" i="22"/>
  <c r="E106" i="22"/>
  <c r="A61" i="20" l="1"/>
  <c r="E21" i="24"/>
  <c r="B60" i="19"/>
  <c r="B61" i="19"/>
  <c r="E29" i="24"/>
  <c r="E69" i="20" s="1"/>
  <c r="D29" i="24"/>
  <c r="A62" i="20"/>
  <c r="A73" i="20"/>
  <c r="A65" i="20"/>
  <c r="B59" i="19"/>
  <c r="B62" i="19"/>
  <c r="E27" i="24"/>
  <c r="D24" i="24"/>
  <c r="A64" i="20"/>
  <c r="E28" i="24"/>
  <c r="E68" i="20" s="1"/>
  <c r="D25" i="24"/>
  <c r="C65" i="20" s="1"/>
  <c r="D23" i="24"/>
  <c r="A63" i="20"/>
  <c r="D26" i="24"/>
  <c r="A66" i="20"/>
  <c r="B56" i="19"/>
  <c r="A68" i="20"/>
  <c r="D34" i="24"/>
  <c r="C74" i="20" s="1"/>
  <c r="E34" i="24"/>
  <c r="E74" i="20" s="1"/>
  <c r="E33" i="24"/>
  <c r="E73" i="20" s="1"/>
  <c r="D33" i="24"/>
  <c r="C73" i="20" s="1"/>
  <c r="E32" i="24"/>
  <c r="E72" i="20" s="1"/>
  <c r="D32" i="24"/>
  <c r="C72" i="20" s="1"/>
  <c r="A72" i="20"/>
  <c r="D31" i="24"/>
  <c r="C71" i="20" s="1"/>
  <c r="E31" i="24"/>
  <c r="E71" i="20" s="1"/>
  <c r="A71" i="20"/>
  <c r="B66" i="19"/>
  <c r="E30" i="24"/>
  <c r="E70" i="20" s="1"/>
  <c r="A74" i="20"/>
  <c r="L89" i="14"/>
  <c r="C1" i="22"/>
  <c r="B60" i="22" s="1"/>
  <c r="E61" i="19" l="1"/>
  <c r="C65" i="19"/>
  <c r="E63" i="19"/>
  <c r="C64" i="19"/>
  <c r="C63" i="19"/>
  <c r="E65" i="19"/>
  <c r="E64" i="19"/>
  <c r="E66" i="19"/>
  <c r="E62" i="19"/>
  <c r="C66" i="19"/>
  <c r="B46" i="22"/>
  <c r="B18" i="22"/>
  <c r="B39" i="22"/>
  <c r="B11" i="22"/>
  <c r="C4" i="22"/>
  <c r="B32" i="22"/>
  <c r="B4" i="22"/>
  <c r="B25" i="22"/>
  <c r="B53" i="22"/>
  <c r="D4" i="22" l="1"/>
  <c r="C60" i="22"/>
  <c r="D60" i="22" s="1"/>
  <c r="C53" i="22"/>
  <c r="D53" i="22" s="1"/>
  <c r="C25" i="22"/>
  <c r="D25" i="22" s="1"/>
  <c r="C18" i="22"/>
  <c r="D18" i="22" s="1"/>
  <c r="C11" i="22"/>
  <c r="D11" i="22" s="1"/>
  <c r="C46" i="22"/>
  <c r="D46" i="22" s="1"/>
  <c r="C32" i="22"/>
  <c r="D32" i="22" s="1"/>
  <c r="C39" i="22"/>
  <c r="D39" i="22" s="1"/>
  <c r="D289" i="22"/>
  <c r="D212" i="22"/>
  <c r="D204" i="22"/>
  <c r="D203" i="22"/>
  <c r="D196" i="22"/>
  <c r="D195" i="22"/>
  <c r="D277" i="22"/>
  <c r="D283" i="22"/>
  <c r="D288" i="22"/>
  <c r="D287" i="22"/>
  <c r="D282" i="22"/>
  <c r="D281" i="22"/>
  <c r="D276" i="22"/>
  <c r="D275" i="22"/>
  <c r="D270" i="22"/>
  <c r="D269" i="22"/>
  <c r="D264" i="22"/>
  <c r="D263" i="22"/>
  <c r="D258" i="22"/>
  <c r="D257" i="22"/>
  <c r="D256" i="22"/>
  <c r="D255" i="22"/>
  <c r="D254" i="22"/>
  <c r="D253" i="22"/>
  <c r="D252" i="22"/>
  <c r="D251" i="22"/>
  <c r="D250" i="22"/>
  <c r="D247" i="22"/>
  <c r="D244" i="22"/>
  <c r="D249" i="22"/>
  <c r="D246" i="22"/>
  <c r="D245" i="22"/>
  <c r="D243" i="22"/>
  <c r="D239" i="22"/>
  <c r="D238" i="22"/>
  <c r="D237" i="22"/>
  <c r="D236" i="22"/>
  <c r="D211" i="22"/>
  <c r="D208" i="22"/>
  <c r="D202" i="22"/>
  <c r="D201" i="22"/>
  <c r="D200" i="22"/>
  <c r="D199" i="22"/>
  <c r="D194" i="22"/>
  <c r="D193" i="22"/>
  <c r="D192" i="22"/>
  <c r="D191" i="22"/>
  <c r="D165" i="22"/>
  <c r="D164" i="22"/>
  <c r="D163" i="22"/>
  <c r="D162" i="22"/>
  <c r="D161" i="22"/>
  <c r="D160" i="22"/>
  <c r="D159" i="22"/>
  <c r="D158" i="22"/>
  <c r="D157" i="22"/>
  <c r="D156" i="22"/>
  <c r="D155" i="22"/>
  <c r="D154" i="22"/>
  <c r="D153" i="22"/>
  <c r="D152" i="22"/>
  <c r="D151" i="22"/>
  <c r="D150" i="22"/>
  <c r="D149" i="22"/>
  <c r="D148" i="22"/>
  <c r="D147" i="22"/>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6" i="22"/>
  <c r="D115" i="22"/>
  <c r="D114" i="22"/>
  <c r="D113" i="22"/>
  <c r="D112" i="22"/>
  <c r="D111" i="22"/>
  <c r="D107" i="22"/>
  <c r="D106" i="22"/>
  <c r="D105" i="22"/>
  <c r="D104" i="22"/>
  <c r="D103" i="22"/>
  <c r="D102" i="22"/>
  <c r="D101" i="22"/>
  <c r="D100" i="22"/>
  <c r="D99" i="22"/>
  <c r="D98" i="22"/>
  <c r="D97" i="22"/>
  <c r="D96" i="22"/>
  <c r="D93" i="22" l="1"/>
  <c r="D92" i="22"/>
  <c r="D91" i="22"/>
  <c r="D90" i="22"/>
  <c r="D89" i="22"/>
  <c r="D88" i="22"/>
  <c r="D87" i="22"/>
  <c r="D86" i="22"/>
  <c r="D85" i="22"/>
  <c r="D84" i="22"/>
  <c r="D83" i="22"/>
  <c r="D82" i="22"/>
  <c r="D81" i="22"/>
  <c r="D80" i="22"/>
  <c r="D79" i="22"/>
  <c r="D78" i="22"/>
  <c r="D77" i="22"/>
  <c r="D76" i="22"/>
  <c r="D75" i="22"/>
  <c r="D74" i="22"/>
  <c r="D73" i="22"/>
  <c r="D72" i="22"/>
  <c r="D71" i="22"/>
  <c r="D70" i="22"/>
  <c r="E82" i="18" l="1"/>
  <c r="E83" i="18" s="1"/>
  <c r="E84" i="18" s="1"/>
  <c r="E85" i="18" s="1"/>
  <c r="E86" i="18" s="1"/>
  <c r="E87" i="18" s="1"/>
  <c r="E88" i="18" s="1"/>
  <c r="E89" i="18" s="1"/>
  <c r="E90" i="18" s="1"/>
  <c r="E91" i="18" s="1"/>
  <c r="E92" i="18" s="1"/>
  <c r="E93" i="18" s="1"/>
  <c r="E94" i="18" s="1"/>
  <c r="E95" i="18" s="1"/>
  <c r="E96" i="18" s="1"/>
  <c r="E97" i="18" s="1"/>
  <c r="E98" i="18" s="1"/>
  <c r="E99" i="18" s="1"/>
  <c r="E100" i="18" s="1"/>
  <c r="E101" i="18" s="1"/>
  <c r="E102" i="18" s="1"/>
  <c r="E103" i="18" s="1"/>
  <c r="E104" i="18" s="1"/>
  <c r="E105" i="18" s="1"/>
  <c r="E106" i="18" s="1"/>
  <c r="E107" i="18" s="1"/>
  <c r="E108" i="18" s="1"/>
  <c r="E109" i="18" s="1"/>
  <c r="E110" i="18" s="1"/>
  <c r="E111" i="18" s="1"/>
  <c r="E112" i="18" s="1"/>
  <c r="E113" i="18" s="1"/>
  <c r="E114" i="18" s="1"/>
  <c r="E115" i="18" s="1"/>
  <c r="F77" i="18"/>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E75" i="18"/>
  <c r="E76" i="18" s="1"/>
  <c r="E77" i="18" s="1"/>
  <c r="E78" i="18" s="1"/>
  <c r="E79" i="18" s="1"/>
  <c r="E80" i="18" s="1"/>
  <c r="C49" i="18"/>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E44" i="18"/>
  <c r="E45" i="18" s="1"/>
  <c r="E46" i="18" s="1"/>
  <c r="E47" i="18" s="1"/>
  <c r="E48" i="18" s="1"/>
  <c r="E49" i="18" s="1"/>
  <c r="E50" i="18" s="1"/>
  <c r="E51" i="18" s="1"/>
  <c r="E52" i="18" s="1"/>
  <c r="E53" i="18" s="1"/>
  <c r="E54" i="18" s="1"/>
  <c r="E55" i="18" s="1"/>
  <c r="E56" i="18" s="1"/>
  <c r="E57" i="18" s="1"/>
  <c r="E58" i="18" s="1"/>
  <c r="E59" i="18" s="1"/>
  <c r="E60" i="18" s="1"/>
  <c r="E61" i="18" s="1"/>
  <c r="E62" i="18" s="1"/>
  <c r="E63" i="18" s="1"/>
  <c r="E64" i="18" s="1"/>
  <c r="E65" i="18" s="1"/>
  <c r="E66" i="18" s="1"/>
  <c r="E67" i="18" s="1"/>
  <c r="E68" i="18" s="1"/>
  <c r="E69" i="18" s="1"/>
  <c r="E70" i="18" s="1"/>
  <c r="E71" i="18" s="1"/>
  <c r="E72" i="18" s="1"/>
  <c r="E73" i="18" s="1"/>
  <c r="D33" i="18"/>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7" i="18" s="1"/>
  <c r="D98" i="18" s="1"/>
  <c r="D99" i="18" s="1"/>
  <c r="D100" i="18" s="1"/>
  <c r="D101" i="18" s="1"/>
  <c r="D102" i="18" s="1"/>
  <c r="D103" i="18" s="1"/>
  <c r="D104" i="18" s="1"/>
  <c r="D105" i="18" s="1"/>
  <c r="D106" i="18" s="1"/>
  <c r="D107" i="18" s="1"/>
  <c r="D108" i="18" s="1"/>
  <c r="D109" i="18" s="1"/>
  <c r="D110" i="18" s="1"/>
  <c r="D111" i="18" s="1"/>
  <c r="D112" i="18" s="1"/>
  <c r="D113" i="18" s="1"/>
  <c r="D114" i="18" s="1"/>
  <c r="D115" i="18" s="1"/>
  <c r="D116" i="18" s="1"/>
  <c r="A33" i="18"/>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Q30" i="18"/>
  <c r="Q29" i="18"/>
  <c r="Q28" i="18"/>
  <c r="Q27" i="18"/>
  <c r="Q26" i="18"/>
  <c r="Q25" i="18"/>
  <c r="Q24" i="18"/>
  <c r="Q23" i="18"/>
  <c r="Q22" i="18"/>
  <c r="F22" i="18"/>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Q21" i="18"/>
  <c r="Q20" i="18"/>
  <c r="A20" i="18"/>
  <c r="A21" i="18" s="1"/>
  <c r="A22" i="18" s="1"/>
  <c r="A23" i="18" s="1"/>
  <c r="A24" i="18" s="1"/>
  <c r="A25" i="18" s="1"/>
  <c r="A26" i="18" s="1"/>
  <c r="A27" i="18" s="1"/>
  <c r="A28" i="18" s="1"/>
  <c r="A29" i="18" s="1"/>
  <c r="A30" i="18" s="1"/>
  <c r="A31" i="18" s="1"/>
  <c r="Q19" i="18"/>
  <c r="G19" i="18"/>
  <c r="G20" i="18" s="1"/>
  <c r="G21" i="18" s="1"/>
  <c r="G22" i="18" s="1"/>
  <c r="G23" i="18" s="1"/>
  <c r="G24" i="18" s="1"/>
  <c r="G25" i="18" s="1"/>
  <c r="G26" i="18" s="1"/>
  <c r="G27" i="18" s="1"/>
  <c r="Q18" i="18"/>
  <c r="Q17" i="18"/>
  <c r="Q16" i="18"/>
  <c r="Q15" i="18"/>
  <c r="E15" i="18"/>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Q14" i="18"/>
  <c r="Q13" i="18"/>
  <c r="Q12" i="18"/>
  <c r="G12" i="18"/>
  <c r="G13" i="18" s="1"/>
  <c r="G14" i="18" s="1"/>
  <c r="G15" i="18" s="1"/>
  <c r="G16" i="18" s="1"/>
  <c r="G17" i="18" s="1"/>
  <c r="Q11" i="18"/>
  <c r="E11" i="18"/>
  <c r="E12" i="18" s="1"/>
  <c r="E13" i="18" s="1"/>
  <c r="B11" i="18"/>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A11" i="18"/>
  <c r="A12" i="18" s="1"/>
  <c r="A13" i="18" s="1"/>
  <c r="A14" i="18" s="1"/>
  <c r="A15" i="18" s="1"/>
  <c r="A16" i="18" s="1"/>
  <c r="A17" i="18" s="1"/>
  <c r="A18" i="18" s="1"/>
  <c r="Q10" i="18"/>
  <c r="Q9" i="18"/>
  <c r="G9" i="18"/>
  <c r="G10" i="18" s="1"/>
  <c r="A9" i="18"/>
  <c r="Q8" i="18"/>
  <c r="E8" i="18"/>
  <c r="E9" i="18" s="1"/>
  <c r="D8" i="18"/>
  <c r="D9" i="18" s="1"/>
  <c r="D10" i="18" s="1"/>
  <c r="D11" i="18" s="1"/>
  <c r="D12" i="18" s="1"/>
  <c r="D13" i="18" s="1"/>
  <c r="D14" i="18" s="1"/>
  <c r="D15" i="18" s="1"/>
  <c r="D16" i="18" s="1"/>
  <c r="D17" i="18" s="1"/>
  <c r="D18" i="18" s="1"/>
  <c r="D19" i="18" s="1"/>
  <c r="D20" i="18" s="1"/>
  <c r="D21" i="18" s="1"/>
  <c r="D22" i="18" s="1"/>
  <c r="D23" i="18" s="1"/>
  <c r="D24" i="18" s="1"/>
  <c r="D25" i="18" s="1"/>
  <c r="D26" i="18" s="1"/>
  <c r="D27" i="18" s="1"/>
  <c r="D28" i="18" s="1"/>
  <c r="D29" i="18" s="1"/>
  <c r="D30" i="18" s="1"/>
  <c r="D31" i="18" s="1"/>
  <c r="B8" i="18"/>
  <c r="B9" i="18" s="1"/>
  <c r="Q7" i="18"/>
  <c r="G7" i="18"/>
  <c r="Q6" i="18"/>
  <c r="E6" i="18"/>
  <c r="E5" i="18" s="1"/>
  <c r="E4" i="18" s="1"/>
  <c r="E3" i="18" s="1"/>
  <c r="E2" i="18" s="1"/>
  <c r="B6" i="18"/>
  <c r="A6" i="18"/>
  <c r="Q5" i="18"/>
  <c r="D5" i="18"/>
  <c r="D6" i="18" s="1"/>
  <c r="Q4" i="18"/>
  <c r="G4" i="18"/>
  <c r="G5" i="18" s="1"/>
  <c r="Q3" i="18"/>
  <c r="D3" i="18"/>
  <c r="D2" i="18" s="1"/>
  <c r="B3" i="18"/>
  <c r="B4" i="18" s="1"/>
  <c r="A3" i="18"/>
  <c r="A4" i="18" s="1"/>
  <c r="G2" i="18"/>
  <c r="Q192" i="14"/>
  <c r="R192" i="14" s="1"/>
  <c r="E186" i="14"/>
  <c r="D191" i="14"/>
  <c r="D189" i="14"/>
  <c r="B166" i="14"/>
  <c r="B171" i="14"/>
  <c r="B169" i="14"/>
  <c r="B159" i="14"/>
  <c r="B140" i="14"/>
  <c r="B139" i="14"/>
  <c r="E87" i="14" s="1"/>
  <c r="B113" i="14"/>
  <c r="C99" i="14"/>
  <c r="E99" i="14" s="1"/>
  <c r="B99" i="14"/>
  <c r="D99" i="14" s="1"/>
  <c r="C98" i="14"/>
  <c r="F98" i="14" s="1"/>
  <c r="B98" i="14"/>
  <c r="D98" i="14" s="1"/>
  <c r="C97" i="14"/>
  <c r="E97" i="14" s="1"/>
  <c r="B97" i="14"/>
  <c r="D97" i="14" s="1"/>
  <c r="C96" i="14"/>
  <c r="F96" i="14" s="1"/>
  <c r="B96" i="14"/>
  <c r="D96" i="14" s="1"/>
  <c r="C95" i="14"/>
  <c r="E95" i="14" s="1"/>
  <c r="B95" i="14"/>
  <c r="D95" i="14" s="1"/>
  <c r="B86" i="14"/>
  <c r="B85" i="14"/>
  <c r="A69" i="14"/>
  <c r="A67" i="14"/>
  <c r="C58" i="14"/>
  <c r="L93" i="14" s="1"/>
  <c r="L35" i="16"/>
  <c r="F32" i="16"/>
  <c r="L30" i="16"/>
  <c r="L29" i="16"/>
  <c r="F29" i="16"/>
  <c r="L28" i="16"/>
  <c r="F26" i="16"/>
  <c r="L24" i="16"/>
  <c r="L23" i="16"/>
  <c r="F23" i="16"/>
  <c r="L22" i="16"/>
  <c r="F20" i="16"/>
  <c r="L18" i="16"/>
  <c r="L17" i="16"/>
  <c r="F17" i="16"/>
  <c r="L16" i="16"/>
  <c r="F14" i="16"/>
  <c r="L12" i="16"/>
  <c r="L11" i="16"/>
  <c r="F11" i="16"/>
  <c r="L10" i="16"/>
  <c r="F8" i="16"/>
  <c r="L6" i="16"/>
  <c r="L5" i="16"/>
  <c r="F5" i="16"/>
  <c r="G51" i="4"/>
  <c r="H33" i="4"/>
  <c r="H28" i="4"/>
  <c r="G11" i="4"/>
  <c r="F13" i="1"/>
  <c r="E17" i="19"/>
  <c r="E16" i="19"/>
  <c r="E15" i="19"/>
  <c r="L96" i="14" l="1"/>
  <c r="L98" i="14" s="1"/>
  <c r="L95" i="14"/>
  <c r="F49" i="18"/>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C47" i="18"/>
  <c r="C46" i="18" s="1"/>
  <c r="C45" i="18" s="1"/>
  <c r="C44" i="18" s="1"/>
  <c r="C43" i="18" s="1"/>
  <c r="C42" i="18" s="1"/>
  <c r="C41" i="18" s="1"/>
  <c r="C40" i="18" s="1"/>
  <c r="C39" i="18" s="1"/>
  <c r="C38" i="18" s="1"/>
  <c r="C37" i="18" s="1"/>
  <c r="C36" i="18" s="1"/>
  <c r="C35" i="18" s="1"/>
  <c r="C34" i="18" s="1"/>
  <c r="C33" i="18" s="1"/>
  <c r="C32" i="18" s="1"/>
  <c r="C31" i="18" s="1"/>
  <c r="C30" i="18" s="1"/>
  <c r="C29" i="18" s="1"/>
  <c r="C28" i="18" s="1"/>
  <c r="C27" i="18" s="1"/>
  <c r="C26" i="18" s="1"/>
  <c r="C25" i="18" s="1"/>
  <c r="C24" i="18" s="1"/>
  <c r="C23" i="18" s="1"/>
  <c r="C22" i="18" s="1"/>
  <c r="C21" i="18" s="1"/>
  <c r="C20" i="18" s="1"/>
  <c r="C19" i="18" s="1"/>
  <c r="C18" i="18" s="1"/>
  <c r="C17" i="18" s="1"/>
  <c r="C16" i="18" s="1"/>
  <c r="C15" i="18" s="1"/>
  <c r="C14" i="18" s="1"/>
  <c r="C13" i="18" s="1"/>
  <c r="C12" i="18" s="1"/>
  <c r="C11" i="18" s="1"/>
  <c r="C10" i="18" s="1"/>
  <c r="C9" i="18" s="1"/>
  <c r="C8" i="18" s="1"/>
  <c r="C7" i="18" s="1"/>
  <c r="C6" i="18" s="1"/>
  <c r="C5" i="18" s="1"/>
  <c r="C4" i="18" s="1"/>
  <c r="C3" i="18" s="1"/>
  <c r="C2" i="18" s="1"/>
  <c r="E85" i="14"/>
  <c r="L90" i="14"/>
  <c r="L92" i="14" s="1"/>
  <c r="L99" i="14" s="1"/>
  <c r="L101" i="14" s="1"/>
  <c r="S192" i="14"/>
  <c r="J188" i="14"/>
  <c r="I186" i="14"/>
  <c r="J186" i="14"/>
  <c r="I187" i="14"/>
  <c r="J187" i="14"/>
  <c r="I188" i="14"/>
  <c r="E96" i="14"/>
  <c r="G96" i="14" s="1"/>
  <c r="H96" i="14" s="1"/>
  <c r="F97" i="14"/>
  <c r="G97" i="14" s="1"/>
  <c r="H97" i="14" s="1"/>
  <c r="F95" i="14"/>
  <c r="G95" i="14" s="1"/>
  <c r="H95" i="14" s="1"/>
  <c r="F99" i="14"/>
  <c r="G99" i="14" s="1"/>
  <c r="C168" i="14"/>
  <c r="F188" i="14" s="1"/>
  <c r="C171" i="14"/>
  <c r="C170" i="14"/>
  <c r="F190" i="14" s="1"/>
  <c r="O190" i="14" s="1"/>
  <c r="Q190" i="14" s="1"/>
  <c r="C166" i="14"/>
  <c r="F186" i="14" s="1"/>
  <c r="O186" i="14" s="1"/>
  <c r="C169" i="14"/>
  <c r="F189" i="14" s="1"/>
  <c r="O189" i="14" s="1"/>
  <c r="Q189" i="14" s="1"/>
  <c r="C167" i="14"/>
  <c r="F187" i="14" s="1"/>
  <c r="D100" i="14"/>
  <c r="E98" i="14"/>
  <c r="G98" i="14" s="1"/>
  <c r="H98" i="14" l="1"/>
  <c r="H186" i="14"/>
  <c r="H99" i="14"/>
  <c r="F191" i="14"/>
  <c r="O191" i="14" s="1"/>
  <c r="Q191" i="14" s="1"/>
  <c r="O188" i="14"/>
  <c r="H188" i="14"/>
  <c r="O187" i="14"/>
  <c r="H187" i="14"/>
  <c r="S189" i="14"/>
  <c r="R189" i="14"/>
  <c r="G100" i="14"/>
  <c r="D43" i="16" s="1"/>
  <c r="M84" i="14" l="1"/>
  <c r="F79" i="4"/>
  <c r="BI5" i="25" s="1"/>
  <c r="P186" i="14"/>
  <c r="Q186" i="14" s="1"/>
  <c r="H100" i="14"/>
  <c r="O193" i="14"/>
  <c r="E88" i="14" s="1"/>
  <c r="F75" i="14" s="1"/>
  <c r="F63" i="4"/>
  <c r="T4" i="24" s="1"/>
  <c r="P188" i="14"/>
  <c r="Q188" i="14" s="1"/>
  <c r="F71" i="4"/>
  <c r="BA5" i="25" s="1"/>
  <c r="P187" i="14"/>
  <c r="Q187" i="14" s="1"/>
  <c r="C103" i="14"/>
  <c r="R190" i="14"/>
  <c r="S190" i="14"/>
  <c r="R191" i="14"/>
  <c r="S191" i="14"/>
  <c r="C101" i="14"/>
  <c r="K75" i="14" l="1"/>
  <c r="K90" i="14" s="1"/>
  <c r="J75" i="14"/>
  <c r="K87" i="14" s="1"/>
  <c r="M93" i="14"/>
  <c r="L75" i="14"/>
  <c r="B71" i="14"/>
  <c r="F73" i="14"/>
  <c r="C105" i="14"/>
  <c r="D44" i="16" s="1"/>
  <c r="P193" i="14"/>
  <c r="C102" i="14"/>
  <c r="M87" i="14"/>
  <c r="Q193" i="14"/>
  <c r="S193" i="14" s="1"/>
  <c r="C104" i="14"/>
  <c r="AS5" i="25"/>
  <c r="O194" i="14"/>
  <c r="C108" i="4" s="1"/>
  <c r="F43" i="16"/>
  <c r="B196" i="14"/>
  <c r="T6" i="24"/>
  <c r="T5" i="24"/>
  <c r="S187" i="14"/>
  <c r="R187" i="14"/>
  <c r="S186" i="14"/>
  <c r="R186" i="14"/>
  <c r="S188" i="14"/>
  <c r="R188" i="14"/>
  <c r="B161" i="14"/>
  <c r="O87" i="14" l="1"/>
  <c r="M98" i="14"/>
  <c r="M99" i="14"/>
  <c r="M96" i="14"/>
  <c r="B78" i="14"/>
  <c r="D111" i="4"/>
  <c r="M75" i="14"/>
  <c r="K96" i="14" s="1"/>
  <c r="N75" i="14"/>
  <c r="K99" i="14" s="1"/>
  <c r="K93" i="14"/>
  <c r="O93" i="14" s="1"/>
  <c r="D45" i="16"/>
  <c r="D196" i="14"/>
  <c r="F36" i="16"/>
  <c r="M90" i="14"/>
  <c r="O90" i="14" s="1"/>
  <c r="Q194" i="14"/>
  <c r="R193" i="14"/>
  <c r="H85" i="14" s="1"/>
  <c r="K84" i="14"/>
  <c r="O84" i="14" s="1"/>
  <c r="B197" i="14"/>
  <c r="D197" i="14" s="1"/>
  <c r="P194" i="14"/>
  <c r="R194" i="14"/>
  <c r="B162" i="14"/>
  <c r="B163" i="14" s="1"/>
  <c r="O96" i="14" l="1"/>
  <c r="O99" i="14"/>
  <c r="K187" i="14"/>
  <c r="L188" i="14"/>
  <c r="E80" i="4" s="1"/>
  <c r="K188" i="14"/>
  <c r="M188" i="14" s="1"/>
  <c r="L187" i="14"/>
  <c r="E72" i="4" s="1"/>
  <c r="L191" i="14"/>
  <c r="E98" i="4" s="1"/>
  <c r="K186" i="14"/>
  <c r="M186" i="14" s="1"/>
  <c r="L189" i="14"/>
  <c r="E86" i="4" s="1"/>
  <c r="L190" i="14"/>
  <c r="E92" i="4" s="1"/>
  <c r="K190" i="14"/>
  <c r="F92" i="4" s="1"/>
  <c r="K191" i="14"/>
  <c r="L186" i="14"/>
  <c r="E64" i="4" s="1"/>
  <c r="K189" i="14"/>
  <c r="F86" i="4" s="1"/>
  <c r="M187" i="14"/>
  <c r="C30" i="19"/>
  <c r="M85" i="14"/>
  <c r="D198" i="14"/>
  <c r="H86" i="14" s="1"/>
  <c r="B198" i="14"/>
  <c r="B201" i="14"/>
  <c r="F98" i="4"/>
  <c r="F44" i="16"/>
  <c r="D49" i="16"/>
  <c r="M189" i="14" l="1"/>
  <c r="F87" i="4" s="1"/>
  <c r="M190" i="14"/>
  <c r="F93" i="4" s="1"/>
  <c r="M94" i="14"/>
  <c r="M91" i="14"/>
  <c r="M86" i="14"/>
  <c r="M88" i="14"/>
  <c r="D111" i="14"/>
  <c r="E111" i="14" s="1"/>
  <c r="F65" i="4"/>
  <c r="F64" i="4"/>
  <c r="Z7" i="24"/>
  <c r="F81" i="4"/>
  <c r="G81" i="4" s="1"/>
  <c r="F80" i="4"/>
  <c r="BJ5" i="25" s="1"/>
  <c r="F79" i="14"/>
  <c r="H75" i="14"/>
  <c r="H76" i="14" s="1"/>
  <c r="F76" i="14" s="1"/>
  <c r="D46" i="16"/>
  <c r="D51" i="16"/>
  <c r="D50" i="16"/>
  <c r="F72" i="4"/>
  <c r="BB5" i="25" s="1"/>
  <c r="F73" i="4"/>
  <c r="G73" i="4" s="1"/>
  <c r="K76" i="14" l="1"/>
  <c r="K91" i="14" s="1"/>
  <c r="O91" i="14" s="1"/>
  <c r="L76" i="14"/>
  <c r="K94" i="14" s="1"/>
  <c r="O94" i="14" s="1"/>
  <c r="M89" i="14"/>
  <c r="M92" i="14"/>
  <c r="M100" i="14"/>
  <c r="M97" i="14"/>
  <c r="M95" i="14"/>
  <c r="C107" i="4"/>
  <c r="F99" i="4"/>
  <c r="G99" i="4" s="1"/>
  <c r="BP5" i="25"/>
  <c r="H79" i="14"/>
  <c r="Z9" i="24"/>
  <c r="CB5" i="25"/>
  <c r="BC5" i="25"/>
  <c r="AU5" i="25"/>
  <c r="G87" i="4"/>
  <c r="BQ5" i="25"/>
  <c r="U4" i="24"/>
  <c r="AT5" i="25"/>
  <c r="G93" i="4"/>
  <c r="BW5" i="25"/>
  <c r="Z8" i="24"/>
  <c r="BV5" i="25"/>
  <c r="BK5" i="25"/>
  <c r="V6" i="24"/>
  <c r="J6" i="24" s="1"/>
  <c r="E24" i="24" s="1"/>
  <c r="AA7" i="24"/>
  <c r="J7" i="24" s="1"/>
  <c r="E25" i="24" s="1"/>
  <c r="AA8" i="24"/>
  <c r="J8" i="24" s="1"/>
  <c r="E26" i="24" s="1"/>
  <c r="U6" i="24"/>
  <c r="U5" i="24"/>
  <c r="V5" i="24"/>
  <c r="J5" i="24" s="1"/>
  <c r="E23" i="24" s="1"/>
  <c r="B72" i="14"/>
  <c r="D31" i="1"/>
  <c r="B73" i="14"/>
  <c r="B74" i="14"/>
  <c r="F10" i="1" s="1"/>
  <c r="I75" i="14"/>
  <c r="N76" i="14" l="1"/>
  <c r="M76" i="14"/>
  <c r="L77" i="14"/>
  <c r="L78" i="14" s="1"/>
  <c r="M101" i="14"/>
  <c r="H80" i="14"/>
  <c r="J76" i="14"/>
  <c r="K88" i="14" s="1"/>
  <c r="B75" i="14"/>
  <c r="B81" i="14" s="1"/>
  <c r="E63" i="20"/>
  <c r="K85" i="14"/>
  <c r="O85" i="14" s="1"/>
  <c r="AA9" i="24"/>
  <c r="J9" i="24" s="1"/>
  <c r="CC5" i="25"/>
  <c r="V4" i="24"/>
  <c r="H77" i="14"/>
  <c r="H78" i="14" s="1"/>
  <c r="K89" i="14" l="1"/>
  <c r="O89" i="14" s="1"/>
  <c r="O88" i="14"/>
  <c r="D112" i="4"/>
  <c r="D35" i="1"/>
  <c r="K95" i="14"/>
  <c r="M77" i="14"/>
  <c r="K98" i="14" s="1"/>
  <c r="K97" i="14"/>
  <c r="O97" i="14" s="1"/>
  <c r="N77" i="14"/>
  <c r="K101" i="14" s="1"/>
  <c r="O101" i="14" s="1"/>
  <c r="K100" i="14"/>
  <c r="O100" i="14" s="1"/>
  <c r="E66" i="20"/>
  <c r="E64" i="20"/>
  <c r="E60" i="19"/>
  <c r="E65" i="20"/>
  <c r="K86" i="14"/>
  <c r="O86" i="14" s="1"/>
  <c r="J4" i="24"/>
  <c r="E22" i="24" s="1"/>
  <c r="H81" i="14"/>
  <c r="F80" i="14"/>
  <c r="J77" i="14"/>
  <c r="I76" i="14"/>
  <c r="I77" i="14" s="1"/>
  <c r="I78" i="14" s="1"/>
  <c r="F77" i="14"/>
  <c r="F78" i="14" s="1"/>
  <c r="D33" i="1"/>
  <c r="D34" i="1"/>
  <c r="A116" i="14"/>
  <c r="O98" i="14" l="1"/>
  <c r="D45" i="19" s="1"/>
  <c r="G54" i="20" s="1"/>
  <c r="O95" i="14"/>
  <c r="D44" i="19" s="1"/>
  <c r="G53" i="20" s="1"/>
  <c r="D46" i="19"/>
  <c r="G55" i="20" s="1"/>
  <c r="E59" i="19"/>
  <c r="E67" i="20"/>
  <c r="M78" i="14"/>
  <c r="N78" i="14"/>
  <c r="E56" i="19"/>
  <c r="E57" i="19"/>
  <c r="E55" i="19"/>
  <c r="E62" i="20"/>
  <c r="D113" i="4"/>
  <c r="D116" i="4"/>
  <c r="E58" i="19"/>
  <c r="K77" i="14"/>
  <c r="F81" i="14"/>
  <c r="J17" i="24"/>
  <c r="D118" i="4"/>
  <c r="J78" i="14"/>
  <c r="E110" i="14"/>
  <c r="D41" i="1"/>
  <c r="B80" i="14"/>
  <c r="D114" i="4" l="1"/>
  <c r="E53" i="19"/>
  <c r="E61" i="20"/>
  <c r="D119" i="4"/>
  <c r="K78" i="14"/>
  <c r="B82" i="14"/>
  <c r="D40" i="1" s="1"/>
  <c r="D36" i="1"/>
  <c r="D42" i="1"/>
  <c r="K92" i="14"/>
  <c r="O92" i="14" s="1"/>
  <c r="E54" i="19"/>
  <c r="D39" i="1"/>
  <c r="D117" i="4" l="1"/>
  <c r="D37" i="1"/>
  <c r="D30" i="24" l="1"/>
  <c r="D27" i="24"/>
  <c r="H28" i="19"/>
  <c r="D109" i="14" l="1"/>
  <c r="E109" i="14" s="1"/>
  <c r="E113" i="14" s="1"/>
  <c r="D36" i="19" l="1"/>
  <c r="C39" i="19"/>
  <c r="C40" i="19" s="1"/>
  <c r="D40" i="19" s="1"/>
  <c r="C42" i="19"/>
  <c r="G51" i="20" s="1"/>
  <c r="C43" i="19"/>
  <c r="D37" i="19"/>
  <c r="G45" i="20" s="1"/>
  <c r="C47" i="19"/>
  <c r="G56" i="20" s="1"/>
  <c r="C36" i="19" l="1"/>
  <c r="F47" i="20"/>
  <c r="D39" i="19"/>
  <c r="G47" i="20" s="1"/>
  <c r="C37" i="19"/>
  <c r="D38" i="19"/>
  <c r="G46" i="20" s="1"/>
  <c r="G44" i="20"/>
  <c r="F79" i="20"/>
  <c r="F80" i="20"/>
  <c r="EE5" i="25"/>
  <c r="G52" i="20"/>
  <c r="EF5" i="25"/>
  <c r="ED5" i="25"/>
  <c r="C38" i="19" l="1"/>
  <c r="C41" i="19" s="1"/>
  <c r="C49" i="19" s="1"/>
  <c r="F48" i="20"/>
  <c r="G48" i="20"/>
  <c r="F77" i="20" s="1"/>
  <c r="F45" i="20"/>
  <c r="EA5" i="25"/>
  <c r="F44" i="20"/>
  <c r="DZ5" i="25"/>
  <c r="F46" i="20" l="1"/>
  <c r="EB5" i="25"/>
  <c r="A57" i="20" l="1"/>
  <c r="G50" i="20"/>
  <c r="E17" i="20"/>
  <c r="F17" i="20"/>
  <c r="EC5" i="25"/>
  <c r="C70" i="20" l="1"/>
  <c r="C62" i="19" l="1"/>
  <c r="AF14" i="24" l="1"/>
  <c r="AG14" i="24" l="1"/>
  <c r="I14" i="24" s="1"/>
  <c r="C57" i="19" l="1"/>
  <c r="AF15" i="24" l="1"/>
  <c r="C69" i="20"/>
  <c r="AG15" i="24" l="1"/>
  <c r="I15" i="24" s="1"/>
  <c r="C61" i="19"/>
  <c r="C58" i="19" l="1"/>
  <c r="C66" i="20"/>
  <c r="C67" i="20" l="1"/>
  <c r="C59" i="19" l="1"/>
  <c r="C64" i="20" l="1"/>
  <c r="C56" i="19" l="1"/>
  <c r="AF11" i="24" l="1"/>
  <c r="AG12" i="24" l="1"/>
  <c r="I12" i="24" s="1"/>
  <c r="D22" i="24" s="1"/>
  <c r="AG11" i="24"/>
  <c r="I11" i="24" s="1"/>
  <c r="D21" i="24" s="1"/>
  <c r="C62" i="20" l="1"/>
  <c r="C54" i="19"/>
  <c r="AF13" i="24" l="1"/>
  <c r="AG13" i="24" l="1"/>
  <c r="I13" i="24" s="1"/>
  <c r="D28" i="24" s="1"/>
  <c r="C60" i="19" l="1"/>
  <c r="C68" i="20"/>
  <c r="C53" i="19"/>
  <c r="C61" i="20" l="1"/>
  <c r="C63" i="20"/>
  <c r="C55" i="19"/>
</calcChain>
</file>

<file path=xl/comments1.xml><?xml version="1.0" encoding="utf-8"?>
<comments xmlns="http://schemas.openxmlformats.org/spreadsheetml/2006/main">
  <authors>
    <author>Jan Harnych</author>
  </authors>
  <commentList>
    <comment ref="C6" authorId="0" shapeId="0">
      <text>
        <r>
          <rPr>
            <sz val="9"/>
            <color indexed="81"/>
            <rFont val="Tahoma"/>
            <family val="2"/>
            <charset val="238"/>
          </rPr>
          <t>Do zelených polí zapisujte hodnoty nebo je vybírejte ze seznamu.</t>
        </r>
      </text>
    </comment>
    <comment ref="B15" authorId="0" shapeId="0">
      <text>
        <r>
          <rPr>
            <sz val="9"/>
            <color indexed="81"/>
            <rFont val="Tahoma"/>
            <family val="2"/>
            <charset val="238"/>
          </rPr>
          <t>Zaškrtněte jedno nebo více opatření, která chcete realizovat. Po zaškrtnutí se zobrazí odkazy na formuláře.</t>
        </r>
      </text>
    </comment>
    <comment ref="B28" authorId="0" shapeId="0">
      <text>
        <r>
          <rPr>
            <sz val="9"/>
            <color indexed="81"/>
            <rFont val="Tahoma"/>
            <family val="2"/>
            <charset val="238"/>
          </rPr>
          <t>Klinutím na text se otevře příslušný formulář opatření. Postupujte prosím v pořadí od shora.</t>
        </r>
      </text>
    </comment>
    <comment ref="C28" authorId="0" shapeId="0">
      <text>
        <r>
          <rPr>
            <sz val="9"/>
            <color indexed="81"/>
            <rFont val="Tahoma"/>
            <family val="2"/>
            <charset val="238"/>
          </rPr>
          <t>Pokud jsou všechna data pro opatření v pořádku vyplněna, zobrazí se zelený text s potvrzením. V opačném případě červený text vyzývá k doplnění dat.</t>
        </r>
      </text>
    </comment>
    <comment ref="C36" authorId="0" shapeId="0">
      <text>
        <r>
          <rPr>
            <sz val="9"/>
            <color indexed="81"/>
            <rFont val="Tahoma"/>
            <family val="2"/>
            <charset val="238"/>
          </rPr>
          <t>Pokud v tabulce (3. výsledky) zobrazeny pouze nuly, znamená to, že nejsou správně vyplněny všechny formuláře.</t>
        </r>
      </text>
    </comment>
    <comment ref="B69" authorId="0" shapeId="0">
      <text>
        <r>
          <rPr>
            <sz val="9"/>
            <color indexed="81"/>
            <rFont val="Tahoma"/>
            <family val="2"/>
            <charset val="238"/>
          </rPr>
          <t xml:space="preserve">Stisknutím tlačítka vytisknete formulář s výsledky.
</t>
        </r>
      </text>
    </comment>
    <comment ref="F69" authorId="0" shapeId="0">
      <text>
        <r>
          <rPr>
            <sz val="9"/>
            <color indexed="81"/>
            <rFont val="Tahoma"/>
            <family val="2"/>
            <charset val="238"/>
          </rPr>
          <t xml:space="preserve">vymaže všechny hodnoty ze všech zelených polí.
</t>
        </r>
      </text>
    </comment>
  </commentList>
</comments>
</file>

<file path=xl/comments2.xml><?xml version="1.0" encoding="utf-8"?>
<comments xmlns="http://schemas.openxmlformats.org/spreadsheetml/2006/main">
  <authors>
    <author>Lucie KOCHOVA</author>
  </authors>
  <commentList>
    <comment ref="F36" authorId="0" shapeId="0">
      <text>
        <r>
          <rPr>
            <b/>
            <sz val="9"/>
            <color indexed="81"/>
            <rFont val="Tahoma"/>
            <family val="2"/>
            <charset val="238"/>
          </rPr>
          <t>Lucie KOCHOVA:</t>
        </r>
        <r>
          <rPr>
            <sz val="9"/>
            <color indexed="81"/>
            <rFont val="Tahoma"/>
            <family val="2"/>
            <charset val="238"/>
          </rPr>
          <t xml:space="preserve">
zobrazit když není spotřeba???
Otázka převážně u oken</t>
        </r>
      </text>
    </comment>
  </commentList>
</comments>
</file>

<file path=xl/comments3.xml><?xml version="1.0" encoding="utf-8"?>
<comments xmlns="http://schemas.openxmlformats.org/spreadsheetml/2006/main">
  <authors>
    <author>Lucie KOCHOVA</author>
  </authors>
  <commentList>
    <comment ref="B43" authorId="0" shapeId="0">
      <text>
        <r>
          <rPr>
            <b/>
            <sz val="9"/>
            <color indexed="81"/>
            <rFont val="Tahoma"/>
            <family val="2"/>
            <charset val="238"/>
          </rPr>
          <t>Lucie KOCHOVA:</t>
        </r>
        <r>
          <rPr>
            <sz val="9"/>
            <color indexed="81"/>
            <rFont val="Tahoma"/>
            <family val="2"/>
            <charset val="238"/>
          </rPr>
          <t xml:space="preserve">
požadavek 78</t>
        </r>
      </text>
    </comment>
    <comment ref="B44" authorId="0" shapeId="0">
      <text>
        <r>
          <rPr>
            <b/>
            <sz val="9"/>
            <color indexed="81"/>
            <rFont val="Tahoma"/>
            <family val="2"/>
            <charset val="238"/>
          </rPr>
          <t>Lucie KOCHOVA:</t>
        </r>
        <r>
          <rPr>
            <sz val="9"/>
            <color indexed="81"/>
            <rFont val="Tahoma"/>
            <family val="2"/>
            <charset val="238"/>
          </rPr>
          <t xml:space="preserve">
požadavek 78</t>
        </r>
      </text>
    </comment>
    <comment ref="B75" authorId="0" shapeId="0">
      <text>
        <r>
          <rPr>
            <b/>
            <sz val="9"/>
            <color indexed="81"/>
            <rFont val="Tahoma"/>
            <family val="2"/>
            <charset val="238"/>
          </rPr>
          <t>Lucie KOCHOVA:</t>
        </r>
        <r>
          <rPr>
            <sz val="9"/>
            <color indexed="81"/>
            <rFont val="Tahoma"/>
            <family val="2"/>
            <charset val="238"/>
          </rPr>
          <t xml:space="preserve">
přidána podmínka TČ pro případ, že zůstala vyplněna účinnost</t>
        </r>
      </text>
    </comment>
  </commentList>
</comments>
</file>

<file path=xl/sharedStrings.xml><?xml version="1.0" encoding="utf-8"?>
<sst xmlns="http://schemas.openxmlformats.org/spreadsheetml/2006/main" count="2391" uniqueCount="947">
  <si>
    <t>kWt</t>
  </si>
  <si>
    <t>GJ</t>
  </si>
  <si>
    <t>kg</t>
  </si>
  <si>
    <t>kWh</t>
  </si>
  <si>
    <t>GJ/kg</t>
  </si>
  <si>
    <t>Only for heat pumps - What is the seasonal coefficient of performance?</t>
  </si>
  <si>
    <t>Energy savings</t>
  </si>
  <si>
    <t>Heat Pump</t>
  </si>
  <si>
    <t>Heat savings</t>
  </si>
  <si>
    <t>Electricity savings</t>
  </si>
  <si>
    <t>MWh</t>
  </si>
  <si>
    <t>yes/no</t>
  </si>
  <si>
    <t>yes</t>
  </si>
  <si>
    <t>no</t>
  </si>
  <si>
    <t>New boiler</t>
  </si>
  <si>
    <t>Old boiler</t>
  </si>
  <si>
    <t>Efficiency</t>
  </si>
  <si>
    <t>Lower heating value</t>
  </si>
  <si>
    <t>GJ/m3</t>
  </si>
  <si>
    <t>&lt; 1920</t>
  </si>
  <si>
    <t>1921 až 1945</t>
  </si>
  <si>
    <t>1946 až 1960</t>
  </si>
  <si>
    <t>1961 až 1980</t>
  </si>
  <si>
    <t>1981 až 1994</t>
  </si>
  <si>
    <t>1995 a dále</t>
  </si>
  <si>
    <t>Základní měrná spotřeba energie na vytápění dle období výstavby</t>
  </si>
  <si>
    <t>původní stav</t>
  </si>
  <si>
    <t>1.1</t>
  </si>
  <si>
    <t>1.4</t>
  </si>
  <si>
    <t>1.3</t>
  </si>
  <si>
    <t>Vyberte</t>
  </si>
  <si>
    <t>2</t>
  </si>
  <si>
    <t>2.1</t>
  </si>
  <si>
    <t>zdivo z cihel pálených plných tloušťky 450 mm</t>
  </si>
  <si>
    <t>okna dřevěná špaletová se 2 skly</t>
  </si>
  <si>
    <t>střešní okna dřevěná jednoduchá s dvojsklem</t>
  </si>
  <si>
    <t>2.2</t>
  </si>
  <si>
    <t>Vyberte ano / ne</t>
  </si>
  <si>
    <t>Kdy (rok realizace)</t>
  </si>
  <si>
    <t>Typ oken</t>
  </si>
  <si>
    <t>3</t>
  </si>
  <si>
    <t>3.1</t>
  </si>
  <si>
    <t>kovová s přerušeným tepelným mostem s izolačním dvojsklem</t>
  </si>
  <si>
    <t>ne</t>
  </si>
  <si>
    <t>Období výstavby?</t>
  </si>
  <si>
    <t>Podlahová plocha (m2)</t>
  </si>
  <si>
    <t>Průměr</t>
  </si>
  <si>
    <t>Základní měrná potřeba energie objektu na vytápění</t>
  </si>
  <si>
    <t>kWh/m2</t>
  </si>
  <si>
    <t>Typy konstrukce</t>
  </si>
  <si>
    <t>typ konstrukce</t>
  </si>
  <si>
    <t>Okna ve stěně</t>
  </si>
  <si>
    <t>Okna ve střeše</t>
  </si>
  <si>
    <t>Stěna</t>
  </si>
  <si>
    <t>plochá střecha</t>
  </si>
  <si>
    <t>Opatření již realizovaná</t>
  </si>
  <si>
    <t>Realizace opatření</t>
  </si>
  <si>
    <t>Kdy</t>
  </si>
  <si>
    <t>Typ izolace</t>
  </si>
  <si>
    <t>Tl. izolace</t>
  </si>
  <si>
    <t>koef. Typu izolace</t>
  </si>
  <si>
    <t>ekv. tl. izolace</t>
  </si>
  <si>
    <t>% z plochy</t>
  </si>
  <si>
    <t>snížení úspory v důsledku stáří %</t>
  </si>
  <si>
    <t>úspora %</t>
  </si>
  <si>
    <t>snížení původní potřeby - kWh/m2</t>
  </si>
  <si>
    <t>Total</t>
  </si>
  <si>
    <t>Výchozí měrná spotřeba energie objektu na vytápění</t>
  </si>
  <si>
    <t>Výchozí spotřeba energie objektu na vytápění</t>
  </si>
  <si>
    <t>Opatření, která budou realizovaná investicí</t>
  </si>
  <si>
    <t>úspora energie realizací opatření - kWh/m2</t>
  </si>
  <si>
    <t>Nucené větrání</t>
  </si>
  <si>
    <t>Měrná potřeba energie objektu na vytápění po realizaci</t>
  </si>
  <si>
    <t>Spotřeba energie objektu na vytápění po realizaci</t>
  </si>
  <si>
    <t>ESR</t>
  </si>
  <si>
    <t>Lambda</t>
  </si>
  <si>
    <t>Delta U</t>
  </si>
  <si>
    <t>Kce</t>
  </si>
  <si>
    <t>Období</t>
  </si>
  <si>
    <t>Konstrukce</t>
  </si>
  <si>
    <t>zdivo z děrovaných cihel a tvárnic tloušťky cca 300 mm</t>
  </si>
  <si>
    <t>zdivo ze škvárobetonu tloušťky 250 mm až 300 mm</t>
  </si>
  <si>
    <t>zdivo z děrovaných cihel a tvárnic</t>
  </si>
  <si>
    <t>zdivo z lehkých betonů tloušťky cca 300 mm</t>
  </si>
  <si>
    <t>panel z lehkého betonu tloušťky 240 mm až 300 mm</t>
  </si>
  <si>
    <t>zdivo z pórobetonu tloušťky cca 300 mm</t>
  </si>
  <si>
    <t>keramický panel tloušťky 250 mm až 300 mm bez tep. izolace</t>
  </si>
  <si>
    <t>kovoplastický panel (tzv. Boletický) tloušťky 120 mm</t>
  </si>
  <si>
    <t>železobetonový panel sendvičový tloušťky 190 až 240 mm</t>
  </si>
  <si>
    <t>zdivo z pórobetonových tvárnic tloušťky 400 mm</t>
  </si>
  <si>
    <t>panel z lehkého betonu tloušťky cca 350 mm</t>
  </si>
  <si>
    <t>keramický panel tloušťky 300 mm s tepelnou izolací</t>
  </si>
  <si>
    <t>železobetonový panel sendvičový tloušťky cca 300 mm</t>
  </si>
  <si>
    <t>stěna rekonstruovaný objekt (1995 - 2001)</t>
  </si>
  <si>
    <t>nová stěna (1995 - 2001)</t>
  </si>
  <si>
    <t>stěna lehká - nová od 2002</t>
  </si>
  <si>
    <t>stěna těžká - nová od 2002</t>
  </si>
  <si>
    <t>dřevěná s izolačním dvojsklem</t>
  </si>
  <si>
    <t>dřevěná s izolačním trojsklem</t>
  </si>
  <si>
    <t>kovová s přerušeným tepelným mostem s izolačním trojsklem</t>
  </si>
  <si>
    <t>okna dřevěná jednoduchá s 1 sklem</t>
  </si>
  <si>
    <t>okna dřevěná zdvojená se 2 skly</t>
  </si>
  <si>
    <t>okna kovová zdvojená se 2 skly</t>
  </si>
  <si>
    <t>okna dřevěná jednoduchá s izolačním dvojsklem</t>
  </si>
  <si>
    <t>okna kovová jednoduchá s izolačním dvojsklem</t>
  </si>
  <si>
    <t>střešní okna dřevěná jednoduchá s 1 sklem</t>
  </si>
  <si>
    <t>1.2</t>
  </si>
  <si>
    <t>4</t>
  </si>
  <si>
    <t>1.5</t>
  </si>
  <si>
    <t>1.6</t>
  </si>
  <si>
    <t>1</t>
  </si>
  <si>
    <t>2.3</t>
  </si>
  <si>
    <t>Do you know the efficiency of new boiler?</t>
  </si>
  <si>
    <t>2.5</t>
  </si>
  <si>
    <t>Heat consumption</t>
  </si>
  <si>
    <t>Energy in the fuel before</t>
  </si>
  <si>
    <t>COP</t>
  </si>
  <si>
    <t>led</t>
  </si>
  <si>
    <t>lm/W</t>
  </si>
  <si>
    <t>ano/ne</t>
  </si>
  <si>
    <t>ano</t>
  </si>
  <si>
    <t>1.</t>
  </si>
  <si>
    <t>zářivky</t>
  </si>
  <si>
    <t>2.</t>
  </si>
  <si>
    <t>Jaký je jejich počet?</t>
  </si>
  <si>
    <t>W</t>
  </si>
  <si>
    <t>Jaký je průměrný příkon klasických žárovek?</t>
  </si>
  <si>
    <t>Znáte celkový příkon všech klasických žárovek?</t>
  </si>
  <si>
    <t>Uveďte jejich celkový příkon</t>
  </si>
  <si>
    <t>Kolik hodin denně jsou v průměru zapnuté všechny světelné zdroje?</t>
  </si>
  <si>
    <t>h</t>
  </si>
  <si>
    <t>3.</t>
  </si>
  <si>
    <t>počet</t>
  </si>
  <si>
    <t>klasika</t>
  </si>
  <si>
    <t>halogen</t>
  </si>
  <si>
    <t>výbojky</t>
  </si>
  <si>
    <t>kompakty</t>
  </si>
  <si>
    <t>příkon celkem</t>
  </si>
  <si>
    <t>příkon průměr</t>
  </si>
  <si>
    <t>Znáte celkový příkon všech halogenových žárovek?</t>
  </si>
  <si>
    <t>Jaký je průměrný příkon halogenových žárovek?</t>
  </si>
  <si>
    <t>Znáte celkový příkon všech zářivek?</t>
  </si>
  <si>
    <t>Jaký je průměrný příkon zářivek?</t>
  </si>
  <si>
    <t>Znáte celkový příkon všech rtuťových výbojek?</t>
  </si>
  <si>
    <t>Jaký je průměrný příkon rtuťových výbojek?</t>
  </si>
  <si>
    <t>Znáte celkový příkon všech kompaktních zářivek?</t>
  </si>
  <si>
    <t>Jaký je průměrný příkon kompaktních zářivek?</t>
  </si>
  <si>
    <t>průměrný příkon po</t>
  </si>
  <si>
    <t>průměrný příkon před</t>
  </si>
  <si>
    <t>výbojka</t>
  </si>
  <si>
    <t>příkon</t>
  </si>
  <si>
    <t>světelný tok</t>
  </si>
  <si>
    <t>zářivka</t>
  </si>
  <si>
    <t>CFL</t>
  </si>
  <si>
    <t>příkon led</t>
  </si>
  <si>
    <t>Typické parametry zdrojů</t>
  </si>
  <si>
    <t>kWh/kWh</t>
  </si>
  <si>
    <t>Osvětlení</t>
  </si>
  <si>
    <t>Hlavní list</t>
  </si>
  <si>
    <t>výpočet celkové úspory</t>
  </si>
  <si>
    <t>GJ na kWh</t>
  </si>
  <si>
    <t>kWh na GJ</t>
  </si>
  <si>
    <t>kotel na tuhá paliva</t>
  </si>
  <si>
    <t>kotel na zemní plyn</t>
  </si>
  <si>
    <t>zemní plyn</t>
  </si>
  <si>
    <t>černé uhlí</t>
  </si>
  <si>
    <t>palivové dřevo</t>
  </si>
  <si>
    <t>pelety</t>
  </si>
  <si>
    <t>elektřina</t>
  </si>
  <si>
    <t>Zateplení</t>
  </si>
  <si>
    <t>2.4</t>
  </si>
  <si>
    <t>Kotel</t>
  </si>
  <si>
    <t>3. Výsledky / Results</t>
  </si>
  <si>
    <t>Celkem / Total</t>
  </si>
  <si>
    <t>Základní informace o budově / Basic information about the building</t>
  </si>
  <si>
    <t>Provedená opatření od doby výstavby objektu / Measures already carried out</t>
  </si>
  <si>
    <t>Výměna oken / Windows replacement</t>
  </si>
  <si>
    <t>Zateplení obvodového pláště / Insulation of the building envelope</t>
  </si>
  <si>
    <t>Zateplení střechy / Insulation of the roof</t>
  </si>
  <si>
    <t>Opatření k realizaci / Measures for implementation</t>
  </si>
  <si>
    <t>Jakého typu jsou stávající světelné zdroje? / What type of lighting do you plan to replace?</t>
  </si>
  <si>
    <t>Zářivky / Fluorescent lamp</t>
  </si>
  <si>
    <t>Rtuťové výbojky / Discharge lamp</t>
  </si>
  <si>
    <t>Kompaktní zářivky (CFL) / Compact fluorescent lamps</t>
  </si>
  <si>
    <t>kotel na topný olej</t>
  </si>
  <si>
    <t>topný olej</t>
  </si>
  <si>
    <t>GJ/l</t>
  </si>
  <si>
    <t>l</t>
  </si>
  <si>
    <t>zateplení?</t>
  </si>
  <si>
    <t>Tloušťka tepelné izolace [mm]</t>
  </si>
  <si>
    <t>elektrokotel</t>
  </si>
  <si>
    <t>Název projektu:</t>
  </si>
  <si>
    <t>Klient:</t>
  </si>
  <si>
    <t>GJ/kWh</t>
  </si>
  <si>
    <t>kotel na tuhá paliva-před 1980</t>
  </si>
  <si>
    <t>kotel na tuhá paliva-1980-2000</t>
  </si>
  <si>
    <t>kotel na tuhá paliva-2000-2010</t>
  </si>
  <si>
    <t>kotel na tuhá paliva-2010 a novější</t>
  </si>
  <si>
    <t>kotel na zemní plyn-před 1980</t>
  </si>
  <si>
    <t>kotel na zemní plyn-1980-2000</t>
  </si>
  <si>
    <t>kotel na zemní plyn-2000-2010</t>
  </si>
  <si>
    <t>kotel na zemní plyn-2010 a novější</t>
  </si>
  <si>
    <t>elektrokotel-před 1980</t>
  </si>
  <si>
    <t>elektrokotel-1980-2000</t>
  </si>
  <si>
    <t>elektrokotel-2000-2010</t>
  </si>
  <si>
    <t>elektrokotel-2010 a novější</t>
  </si>
  <si>
    <t>kotel na topný olej-před 1980</t>
  </si>
  <si>
    <t>kotel na topný olej-1980-2000</t>
  </si>
  <si>
    <t>kotel na topný olej-2000-2010</t>
  </si>
  <si>
    <t>kotel na topný olej-2010 a novější</t>
  </si>
  <si>
    <t>1.7</t>
  </si>
  <si>
    <t>před 1980</t>
  </si>
  <si>
    <t>1980-2000</t>
  </si>
  <si>
    <t>2000-2010</t>
  </si>
  <si>
    <t>2010 a novější</t>
  </si>
  <si>
    <t>1. Výměna zdroje tepla / Boiler replacement</t>
  </si>
  <si>
    <t>Parametry stávajícího zdroje tepla/Old boiler parameters</t>
  </si>
  <si>
    <t>Parametry nového zdroje tepla / New boiler parameters</t>
  </si>
  <si>
    <t>V jakém období byl kotel vyroben?</t>
  </si>
  <si>
    <r>
      <t>m</t>
    </r>
    <r>
      <rPr>
        <vertAlign val="superscript"/>
        <sz val="11"/>
        <rFont val="Calibri"/>
        <family val="2"/>
        <charset val="238"/>
        <scheme val="minor"/>
      </rPr>
      <t>2</t>
    </r>
  </si>
  <si>
    <t>opatření 1-teplo</t>
  </si>
  <si>
    <t>Kontrola na vyplněnost všeho</t>
  </si>
  <si>
    <t>Vše v pořádku?</t>
  </si>
  <si>
    <t>Energy in the fuel after - na tuhle spotřebu se počítá</t>
  </si>
  <si>
    <t xml:space="preserve"> teplo</t>
  </si>
  <si>
    <t>jen pro TČ</t>
  </si>
  <si>
    <t>teplo</t>
  </si>
  <si>
    <t>kotel na štěpku, pelety nebo brikety</t>
  </si>
  <si>
    <t>1.8</t>
  </si>
  <si>
    <t>1.9</t>
  </si>
  <si>
    <t>Popis opatření</t>
  </si>
  <si>
    <t>Popis projektu:</t>
  </si>
  <si>
    <t>Checklist</t>
  </si>
  <si>
    <t>kontrola na prázdnost (je prázdné?</t>
  </si>
  <si>
    <r>
      <t>m</t>
    </r>
    <r>
      <rPr>
        <vertAlign val="superscript"/>
        <sz val="11"/>
        <rFont val="Calibri"/>
        <family val="2"/>
        <charset val="238"/>
        <scheme val="minor"/>
      </rPr>
      <t>3</t>
    </r>
  </si>
  <si>
    <t xml:space="preserve">Vnitřní návrhová teplota v otopném období </t>
  </si>
  <si>
    <t>°C</t>
  </si>
  <si>
    <t>Administrativní budova</t>
  </si>
  <si>
    <t>Typ zateplení</t>
  </si>
  <si>
    <t>Součinitel prostupu tepla</t>
  </si>
  <si>
    <t>Obecné zadaní projektu (vyplnění Kalkulačky)</t>
  </si>
  <si>
    <t>Památková ochrana budovy</t>
  </si>
  <si>
    <t>1.3.</t>
  </si>
  <si>
    <r>
      <t>W/(m</t>
    </r>
    <r>
      <rPr>
        <vertAlign val="superscript"/>
        <sz val="11"/>
        <rFont val="Calibri"/>
        <family val="2"/>
        <charset val="238"/>
        <scheme val="minor"/>
      </rPr>
      <t>2</t>
    </r>
    <r>
      <rPr>
        <sz val="11"/>
        <rFont val="Calibri"/>
        <family val="2"/>
        <charset val="238"/>
        <scheme val="minor"/>
      </rPr>
      <t>K)</t>
    </r>
  </si>
  <si>
    <t xml:space="preserve">Zadejte hodnotu z PENB po realizaci z tabulky: Informace o stavebních prvcích a konstrukcích a technických systémech a.2) požadavky na průměrný součinitel prostupu tepla </t>
  </si>
  <si>
    <t>Vyhodnocení plnění požadavku</t>
  </si>
  <si>
    <t>stěny</t>
  </si>
  <si>
    <t>opatření</t>
  </si>
  <si>
    <t>zateplení kontaktní systém, MV</t>
  </si>
  <si>
    <t>zateplení kontaktní systém,  EPS</t>
  </si>
  <si>
    <t>zateplení kontaktní systém,  šedý polystyren</t>
  </si>
  <si>
    <t>zateplení kontaktní systém,  XPS</t>
  </si>
  <si>
    <t>zateplení kontaktní systém,  fenolová pěna</t>
  </si>
  <si>
    <t>zateplení PUR panel</t>
  </si>
  <si>
    <t>zateplení panel z MV</t>
  </si>
  <si>
    <t>zateplení skládaný plášť s obkladem, izolace MV</t>
  </si>
  <si>
    <t>zateplení skládaný plášť s obkladem, izolace EPS</t>
  </si>
  <si>
    <t>zateplení skládaný plášť s obkladem, izolace PUR</t>
  </si>
  <si>
    <t>Požadavek U</t>
  </si>
  <si>
    <t>U rec</t>
  </si>
  <si>
    <t>strop půdy</t>
  </si>
  <si>
    <t>Specifikujte konstrukci</t>
  </si>
  <si>
    <t>Vyberte typ konstrukce</t>
  </si>
  <si>
    <t>zateplení stropu půdy MV - volně ložená</t>
  </si>
  <si>
    <t>zateplení stropu půdy EPS - volně ložený</t>
  </si>
  <si>
    <t>zateplení stropu půdy MV - pochozí úprava</t>
  </si>
  <si>
    <t>zateplení stropu půdy EPS -  pochozí úprava</t>
  </si>
  <si>
    <t>zateplení stropu, MV</t>
  </si>
  <si>
    <t>zateplení stropu,  EPS</t>
  </si>
  <si>
    <t>zateplení stropu, XPS</t>
  </si>
  <si>
    <t>zateplení ploché střechy, MV</t>
  </si>
  <si>
    <t>zateplení ploché střechy, EPS</t>
  </si>
  <si>
    <t>zateplení ploché střechy, XPS</t>
  </si>
  <si>
    <t>zateplení ploché střechy, polyuretan</t>
  </si>
  <si>
    <t>zateplení ploché střechy, polyuretan - minerální rouno</t>
  </si>
  <si>
    <t>zateplení ploché střechy, pěnové sklo</t>
  </si>
  <si>
    <t xml:space="preserve">zateplení šikmé střechy mezi a pod krokve, MV </t>
  </si>
  <si>
    <t xml:space="preserve">zateplení šikmé střechy mezi a pod krokve, celulózovou izolací </t>
  </si>
  <si>
    <t>zateplení šikmé střechy nad krokve, polyuretan</t>
  </si>
  <si>
    <t>zateplení šikmé střechy nad krokve, polystyren</t>
  </si>
  <si>
    <t>zateplení stropu, polyuretan</t>
  </si>
  <si>
    <t>zateplení stropu, šedý polystyren</t>
  </si>
  <si>
    <t xml:space="preserve">zateplení stropu celulózovou izolací </t>
  </si>
  <si>
    <t>plastová s izolačním dvojsklem</t>
  </si>
  <si>
    <t>plastová s izolačním trojsklem</t>
  </si>
  <si>
    <t>okna</t>
  </si>
  <si>
    <t>dveře dřevěné</t>
  </si>
  <si>
    <t>dveře kovové</t>
  </si>
  <si>
    <t>dveře plastové</t>
  </si>
  <si>
    <t>dveře-vrata</t>
  </si>
  <si>
    <t>střešní světlíky</t>
  </si>
  <si>
    <t>střešní okna-světlíky</t>
  </si>
  <si>
    <t>plochá jednoplášťová střecha s vrstvou škvárobetonu</t>
  </si>
  <si>
    <t>plochá jednoplášťová střecha s tepelnou izolací z dutých cihel</t>
  </si>
  <si>
    <t>plochá dvouplášťová střecha s násypem</t>
  </si>
  <si>
    <t>plochá jednoplášťová střecha s pěnobetonem a heraklitem</t>
  </si>
  <si>
    <t>plochá jednoplášťová střecha s tepelnou izolací z plynosilikátových desek nebo pěnoskla</t>
  </si>
  <si>
    <t>plochá jednoplášťová střecha s tepelnou izolací z polystyrénu tl. 50 mm</t>
  </si>
  <si>
    <t>plochá dvouplášťová střecha s tepelnou izolací s minerálních vláken tloušťky 60 až 80 mm</t>
  </si>
  <si>
    <t>plochá jednoplášťová střecha s tepelnou izolací z polystyrénu tl. 100 mm</t>
  </si>
  <si>
    <t>plochá dvouplášťová střecha s tepelnou izolací s minerálních vláken tloušťky 120 mm</t>
  </si>
  <si>
    <t>plochá střecha po roce 2002</t>
  </si>
  <si>
    <t>plochá střecha 1995-2002</t>
  </si>
  <si>
    <t>šikmá střecha nezateplená</t>
  </si>
  <si>
    <t>šikmá střecha</t>
  </si>
  <si>
    <t>stropy dřevěné trámové pod půdou s násypem škváry</t>
  </si>
  <si>
    <t>stropy keramické do ocelových nosníků pod půdou s násypem škváry</t>
  </si>
  <si>
    <t>stropy železobetonové pod půdou s násypem a potěrem</t>
  </si>
  <si>
    <t>stropy železobetonové pod půdou s vrstvou lehkého betonu</t>
  </si>
  <si>
    <t>stropy železobetonové panelové pod půdou s potěrem</t>
  </si>
  <si>
    <t>stropy keramické z panelů a vložek pod půdou s potěrem</t>
  </si>
  <si>
    <t>strop pod půdou - 1995-2002 - přípustná</t>
  </si>
  <si>
    <t>strop pod půdou - po roce 2002</t>
  </si>
  <si>
    <t>strop pod půdou - 1995-2002 - požadovaná</t>
  </si>
  <si>
    <t>stropy dřevěné trámové nad suterénem s dřev. podlahou</t>
  </si>
  <si>
    <t>stropy keramické do ocelových nosníků nad suterénem s dřev. podlahou</t>
  </si>
  <si>
    <t>stropy železobetonové nad suterénem s dřev. podlahou</t>
  </si>
  <si>
    <t>stropy železobetonové nad suterénem s podlahou s PVC</t>
  </si>
  <si>
    <t>stropy železobetonové panelové nad suterénem s podlahou s PVC</t>
  </si>
  <si>
    <t>stropy keramické z panelů a vložek nad suterénem s podlahou s PVC</t>
  </si>
  <si>
    <t>dveře dřevěné plné</t>
  </si>
  <si>
    <t>dveře kovové prosklené s 1 sklem</t>
  </si>
  <si>
    <t>dveře/vrata kovová plná</t>
  </si>
  <si>
    <t>dveře dřevěné prosklené s 1 sklem</t>
  </si>
  <si>
    <t>dveře dřevěné prosklené iz. dvojsklem</t>
  </si>
  <si>
    <t>dveře kovové prosklené iz. dvojsklem</t>
  </si>
  <si>
    <t>vrata sekční tepelně izolační</t>
  </si>
  <si>
    <t>střešní světlíky polykarbonát</t>
  </si>
  <si>
    <t>plochá střecha těžká po roce 2002</t>
  </si>
  <si>
    <t>plochá střecha lehká po roce 2002</t>
  </si>
  <si>
    <t>plochá střecha po roce 2007</t>
  </si>
  <si>
    <t>stěna nová od 2011</t>
  </si>
  <si>
    <t>okna nová po roce 2002</t>
  </si>
  <si>
    <t>okna nová po roce 2011</t>
  </si>
  <si>
    <t>podlaha nad nevytápěným prostorem do roku 2002</t>
  </si>
  <si>
    <t>strop nad nevytápěným prostorem po roce 2002</t>
  </si>
  <si>
    <t>sklobetonová stěna (luxfery)</t>
  </si>
  <si>
    <t>kopility</t>
  </si>
  <si>
    <t>okna do roku 2002</t>
  </si>
  <si>
    <t xml:space="preserve">okna repasovaná </t>
  </si>
  <si>
    <t>střešní okna nová do roku 2007</t>
  </si>
  <si>
    <t>střešní okna nová po roce 2007</t>
  </si>
  <si>
    <t>budova!$C$111:$C$111</t>
  </si>
  <si>
    <t>budova!$C$112:$C$112</t>
  </si>
  <si>
    <t>komůrkový polykarbonát tl. 16 mm</t>
  </si>
  <si>
    <t>komůrkový polykarbonát tl. 25 mm</t>
  </si>
  <si>
    <t>komůrkový polykarbonát tl. 32 mm</t>
  </si>
  <si>
    <t>komůrkový polykarbonát</t>
  </si>
  <si>
    <t>střešní svělíky kovové s 1 sklem</t>
  </si>
  <si>
    <t>podlaha na zemině</t>
  </si>
  <si>
    <t>podlaha na zemině nezateplená</t>
  </si>
  <si>
    <t>podlaha na zemině zateplená</t>
  </si>
  <si>
    <t>podlaha na zemině po roce 2002 zateplená</t>
  </si>
  <si>
    <t>podlaha na zemině po roce 2007 zateplená</t>
  </si>
  <si>
    <t>podlaha na zemině po roce 2007 zateplená více</t>
  </si>
  <si>
    <t>budova!$C$70:$C$70</t>
  </si>
  <si>
    <t>budova!$C$74:$C$77</t>
  </si>
  <si>
    <t>budova!$C$78:$C$85</t>
  </si>
  <si>
    <t>budova!$C$86:$C$89</t>
  </si>
  <si>
    <t>budova!$C$90:$C$95</t>
  </si>
  <si>
    <t>budova!$C$96:$C$96</t>
  </si>
  <si>
    <t>budova!$C$97:$C$99</t>
  </si>
  <si>
    <t>budova!$C$100:$C$100</t>
  </si>
  <si>
    <t>budova!$C$101:$C$103</t>
  </si>
  <si>
    <t>budova!$C$104:$C$105</t>
  </si>
  <si>
    <t>budova!$C$106:$C$110</t>
  </si>
  <si>
    <t>budova!$C$113:$C$113</t>
  </si>
  <si>
    <t>budova!$C$114:$C$114</t>
  </si>
  <si>
    <t>budova!$C$115:$C$115</t>
  </si>
  <si>
    <t>budova!$C$116:$C$117</t>
  </si>
  <si>
    <t>budova!$C$118:$C$119</t>
  </si>
  <si>
    <t>budova!$C$120:$C$122</t>
  </si>
  <si>
    <t>budova!$C$123:$C$126</t>
  </si>
  <si>
    <t>budova!$C$127:$C$132</t>
  </si>
  <si>
    <t>budova!$C$133:$C$138</t>
  </si>
  <si>
    <t>budova!$C$1369:$C$141</t>
  </si>
  <si>
    <t>budova!$C$142:$C$143</t>
  </si>
  <si>
    <t>budova!$C$144:$C$146</t>
  </si>
  <si>
    <t>budova!$C$147:$C$152</t>
  </si>
  <si>
    <t>budova!$C$153:$C$157</t>
  </si>
  <si>
    <t>budova!$C$158:$C$162</t>
  </si>
  <si>
    <t>budova!$C$163:$C$166</t>
  </si>
  <si>
    <t>budova!$C$222:$C$228</t>
  </si>
  <si>
    <t>nevytápěný suterén</t>
  </si>
  <si>
    <t>zateplení v konstrukci podlahy, pěnové sklo</t>
  </si>
  <si>
    <t>zateplení v konstrukci podlahy, EPS</t>
  </si>
  <si>
    <t>zateplení v konstrukci podlahy, XPS</t>
  </si>
  <si>
    <t>zateplení v konstrukci podlahy, šedý polystyren</t>
  </si>
  <si>
    <t>dřevo-hliníková s izolačním trojsklem</t>
  </si>
  <si>
    <t>plast-hliníková s izolačním trojsklem</t>
  </si>
  <si>
    <t>dřevo-hliníková s izolačním dvojsklem</t>
  </si>
  <si>
    <t>plast-hliníková s izolačním dvojsklem</t>
  </si>
  <si>
    <t>Plocha vyměněných oken v m2</t>
  </si>
  <si>
    <t>Plocha zateplené konstrukce v m2</t>
  </si>
  <si>
    <t>Typ vyměněných oken vyberte</t>
  </si>
  <si>
    <t>Zateplení podlahy / Insulation of the floor</t>
  </si>
  <si>
    <t>Plocha zateplované konstrukce [m2]</t>
  </si>
  <si>
    <t>dveře vrata</t>
  </si>
  <si>
    <t>U</t>
  </si>
  <si>
    <t>úspora kWh</t>
  </si>
  <si>
    <t>U požadavek</t>
  </si>
  <si>
    <t>vyhodnocení</t>
  </si>
  <si>
    <t>typ budovy</t>
  </si>
  <si>
    <t>památkov ochrana</t>
  </si>
  <si>
    <t>Zadání projektu na základě Průkazu energetické náročnosti</t>
  </si>
  <si>
    <t>Výrobní hala</t>
  </si>
  <si>
    <t>Skladová hala</t>
  </si>
  <si>
    <t>Zemědělská budova</t>
  </si>
  <si>
    <t>Budova pro vzdělávání</t>
  </si>
  <si>
    <t>Budova pro sport</t>
  </si>
  <si>
    <t>Budova pro zdravotnictví</t>
  </si>
  <si>
    <t>Budova pro ubytování a stravování</t>
  </si>
  <si>
    <t>Budova pro obchodní účely</t>
  </si>
  <si>
    <t>zadání projektu</t>
  </si>
  <si>
    <t>Spotřeba zadaná</t>
  </si>
  <si>
    <t>Spotřeba celkem</t>
  </si>
  <si>
    <t>Vnitřní teplota</t>
  </si>
  <si>
    <t>Un20</t>
  </si>
  <si>
    <t>U před</t>
  </si>
  <si>
    <t>Zadejte součinitel prostupu tepla</t>
  </si>
  <si>
    <t>vrata tepelně izolační</t>
  </si>
  <si>
    <t>pro porovnání zda budova spadá pod 700 GJ</t>
  </si>
  <si>
    <t>Vnější teplota</t>
  </si>
  <si>
    <t>implicitně</t>
  </si>
  <si>
    <t>Průměrná venkovní teplota v otopném období</t>
  </si>
  <si>
    <t>Délka otopného období</t>
  </si>
  <si>
    <t>Počet denostupňů teoretický</t>
  </si>
  <si>
    <t>úspora GJ</t>
  </si>
  <si>
    <t>Urec,20</t>
  </si>
  <si>
    <t>Upo kalk</t>
  </si>
  <si>
    <t>Upo z PENB</t>
  </si>
  <si>
    <t>Součinitel prostupu tepla výpočet z kalkulačky  [W/(m2.K)]</t>
  </si>
  <si>
    <t>Požadavek programu  [W/(m2.K)]</t>
  </si>
  <si>
    <t>Zadejte součinitel prostupu tepla [W/(m2.K)]</t>
  </si>
  <si>
    <t xml:space="preserve"> Plocha vyměňovaných oken / světlíků [m2]</t>
  </si>
  <si>
    <t>Plocha vyměňovaných dveří [m2]</t>
  </si>
  <si>
    <t xml:space="preserve"> Plocha vyměňovaných oken [m2]</t>
  </si>
  <si>
    <t xml:space="preserve"> plocha zateplení m2</t>
  </si>
  <si>
    <t>Spotřeba energie objektu na vytápění před realizací</t>
  </si>
  <si>
    <t>Zadejte větraný objem v m3/h</t>
  </si>
  <si>
    <t>Náklady projektu:</t>
  </si>
  <si>
    <t>Energetické vyhodnocení projektu</t>
  </si>
  <si>
    <t xml:space="preserve">v programu podpory Úspory energie </t>
  </si>
  <si>
    <t>Dosažené výsledky projektu:</t>
  </si>
  <si>
    <t>Vyhodnocení plnění požadavků dle Průkazu energetické náročnosti</t>
  </si>
  <si>
    <t>Vyberte ano/ne</t>
  </si>
  <si>
    <t>Vyperte typ oken</t>
  </si>
  <si>
    <t>Vypočtená hodnota dodané energie ER před realizací projektu</t>
  </si>
  <si>
    <t>Vypočtená hodnota referenční dodané energie ER po realizaci projektu</t>
  </si>
  <si>
    <t>Vypočtená hodnota dodané energie ER po realizaci projektu</t>
  </si>
  <si>
    <t>bráno z konstrukcí / z PENB</t>
  </si>
  <si>
    <t>šikmá střecha po roce 2002</t>
  </si>
  <si>
    <t>zateplení, minerální tepelně-izolační desky (Multipor)</t>
  </si>
  <si>
    <t>Potvrďte, že jsou hodnoty zadány správně</t>
  </si>
  <si>
    <t>Požadavek programu na U [W/(m2.K)]</t>
  </si>
  <si>
    <t>Vyhodnocení plnění požadavků na energetickou náročnost pro projekt jako celek</t>
  </si>
  <si>
    <t>IČ klienta:</t>
  </si>
  <si>
    <t>podlaha s podlahovým vytápěním lehká</t>
  </si>
  <si>
    <t>podlaha s podlahovým vytápěním těžká</t>
  </si>
  <si>
    <t>šikmá střecha zateplená</t>
  </si>
  <si>
    <t>šikmá střecha realizace 1995-2002</t>
  </si>
  <si>
    <t>Vlastnosti budovy před realizací opatření / Building description</t>
  </si>
  <si>
    <t>Zadejte součinitel prostupu tepla nových oken [W/(m2.K)]</t>
  </si>
  <si>
    <t>Součinitel prostupu tepla konstrukce z PENB [W/(m2.K)]</t>
  </si>
  <si>
    <t>2.6</t>
  </si>
  <si>
    <t>2.7</t>
  </si>
  <si>
    <t>3.2</t>
  </si>
  <si>
    <t>CO2</t>
  </si>
  <si>
    <t>kg/GJ</t>
  </si>
  <si>
    <t>cena paliva</t>
  </si>
  <si>
    <t>Kč/m3</t>
  </si>
  <si>
    <t>Kč/kg</t>
  </si>
  <si>
    <t>Kč/kWh</t>
  </si>
  <si>
    <t>Fuel - vytápění</t>
  </si>
  <si>
    <t>Kč/l</t>
  </si>
  <si>
    <t>úspora Kč</t>
  </si>
  <si>
    <t>elektřina ostatní</t>
  </si>
  <si>
    <t>Kč</t>
  </si>
  <si>
    <t>Jakým způsobem budete zadávat projekt?</t>
  </si>
  <si>
    <t>Dochází v projektu ke změně zdroje na vytápění?</t>
  </si>
  <si>
    <t>1.10</t>
  </si>
  <si>
    <t>1.11</t>
  </si>
  <si>
    <t>Jaké se používá palivo?</t>
  </si>
  <si>
    <t>2,67 Kč/kWh akumulace 2,29-3,47, přímotop 2,67-2,86 Kč/kWh</t>
  </si>
  <si>
    <t>10 Kč/m3 6,28-18,66 Kč za 1 m3</t>
  </si>
  <si>
    <t>3,4 Kč/kg</t>
  </si>
  <si>
    <t>5,5 Kč/kg</t>
  </si>
  <si>
    <t>3,5 Kč/kg</t>
  </si>
  <si>
    <t>5,4 Kč/kg</t>
  </si>
  <si>
    <t>29,83 Kč/l</t>
  </si>
  <si>
    <t>5 Kč/kWh</t>
  </si>
  <si>
    <t>kotel na černé uhlí</t>
  </si>
  <si>
    <t>kotel na hnědé uhlí</t>
  </si>
  <si>
    <t>spotřeba v GJ</t>
  </si>
  <si>
    <t>účinnost</t>
  </si>
  <si>
    <t>ztráty v GJ</t>
  </si>
  <si>
    <t>potřeba v GJ</t>
  </si>
  <si>
    <t>palivo</t>
  </si>
  <si>
    <t>úspora</t>
  </si>
  <si>
    <t>Spotřeba Kč</t>
  </si>
  <si>
    <t xml:space="preserve">Spotřeba CO2 </t>
  </si>
  <si>
    <t>Dne</t>
  </si>
  <si>
    <t>Vyhodnocení plnění požadavků na energetickou náročnost</t>
  </si>
  <si>
    <t>Vyhodnocení plnění požadavků programu</t>
  </si>
  <si>
    <t>centrální zásobování teplem</t>
  </si>
  <si>
    <t>Opatření</t>
  </si>
  <si>
    <t>typ zdroje</t>
  </si>
  <si>
    <t xml:space="preserve">Výměna oken, výplní ve stěně </t>
  </si>
  <si>
    <t>Výměna zdroje</t>
  </si>
  <si>
    <t>Zateplení obvodového pláště</t>
  </si>
  <si>
    <t>Zateplení střechy</t>
  </si>
  <si>
    <t>Zateplení podlahy</t>
  </si>
  <si>
    <t>Výměna dveří, vrat</t>
  </si>
  <si>
    <t>Výměna střešních oken, světlíků</t>
  </si>
  <si>
    <t>Instalace mechanického větrání s rekuperací</t>
  </si>
  <si>
    <t>List</t>
  </si>
  <si>
    <t>Instalujete také solární systém?</t>
  </si>
  <si>
    <t>Výměna klasických žárovek</t>
  </si>
  <si>
    <t>Výměna halogenových žárovek</t>
  </si>
  <si>
    <t>Výměna zářivek</t>
  </si>
  <si>
    <t>Výměna rtuťových výbojek</t>
  </si>
  <si>
    <t>Výměna kompaktních zářivek (CFL)</t>
  </si>
  <si>
    <t>m2 solárního systému</t>
  </si>
  <si>
    <t>kotel</t>
  </si>
  <si>
    <t>Součinitel prostupu tepla nových oken [W/(m2.K)]</t>
  </si>
  <si>
    <t>účinnost systému nuceného větrání v %</t>
  </si>
  <si>
    <t>větraný objem v m3/h</t>
  </si>
  <si>
    <t>zateplení</t>
  </si>
  <si>
    <t>celkový příkon vyměňových zdrojů</t>
  </si>
  <si>
    <t>průměrný příkon 1 zdroje</t>
  </si>
  <si>
    <t>osvětlení</t>
  </si>
  <si>
    <t>Vypočtená hodnota průměrného součinitele prostupu tepla Uem po realizaci projektu</t>
  </si>
  <si>
    <t>Referenční hodnota průměrného součinitele prostupu tepla Uem,R po realizaci projektu</t>
  </si>
  <si>
    <t>3.1.1</t>
  </si>
  <si>
    <t>3.1.2</t>
  </si>
  <si>
    <t>3.1.3</t>
  </si>
  <si>
    <t>3.1.4</t>
  </si>
  <si>
    <t>3.1.5</t>
  </si>
  <si>
    <t>3.1.6</t>
  </si>
  <si>
    <t>3.1.7</t>
  </si>
  <si>
    <t>3.1.8</t>
  </si>
  <si>
    <t>4.1.1</t>
  </si>
  <si>
    <t>4.1.2</t>
  </si>
  <si>
    <t>4.1.3</t>
  </si>
  <si>
    <t>4.1.4</t>
  </si>
  <si>
    <t>4.1.5</t>
  </si>
  <si>
    <t>4.1.6</t>
  </si>
  <si>
    <t>4.1.7</t>
  </si>
  <si>
    <t>4.1.8</t>
  </si>
  <si>
    <t>4.2.1</t>
  </si>
  <si>
    <t>4.2.2</t>
  </si>
  <si>
    <t>4.2.3</t>
  </si>
  <si>
    <t>4.2.4</t>
  </si>
  <si>
    <t>4.2.5</t>
  </si>
  <si>
    <t>4.2.6</t>
  </si>
  <si>
    <t>4.2.7</t>
  </si>
  <si>
    <t>4.2.8</t>
  </si>
  <si>
    <t>4.3.1</t>
  </si>
  <si>
    <t>4.3.2</t>
  </si>
  <si>
    <t>4.3.3</t>
  </si>
  <si>
    <t>4.3.4</t>
  </si>
  <si>
    <t>4.3.5</t>
  </si>
  <si>
    <t>4.3.6</t>
  </si>
  <si>
    <t>4.3.7</t>
  </si>
  <si>
    <t>4.3.8</t>
  </si>
  <si>
    <t>4.4.1</t>
  </si>
  <si>
    <t>4.4.2</t>
  </si>
  <si>
    <t>4.4.3</t>
  </si>
  <si>
    <t>4.4.4</t>
  </si>
  <si>
    <t>4.4.5</t>
  </si>
  <si>
    <t>4.4.6</t>
  </si>
  <si>
    <t>4.5.1</t>
  </si>
  <si>
    <t>4.5.2</t>
  </si>
  <si>
    <t>4.5.3</t>
  </si>
  <si>
    <t>4.5.4</t>
  </si>
  <si>
    <t>4.5.5</t>
  </si>
  <si>
    <t>4.5.6</t>
  </si>
  <si>
    <t>4.6.1</t>
  </si>
  <si>
    <t>4.7.1</t>
  </si>
  <si>
    <t>4.7.2</t>
  </si>
  <si>
    <t>4.7.3</t>
  </si>
  <si>
    <t>4.6.2</t>
  </si>
  <si>
    <t>4.6.3</t>
  </si>
  <si>
    <t>4.6.4</t>
  </si>
  <si>
    <t>4.6.5</t>
  </si>
  <si>
    <t>4.6.6</t>
  </si>
  <si>
    <t xml:space="preserve"> Plocha vyměňovaných výplní [m2]</t>
  </si>
  <si>
    <t>Součinitel prostupu tepla nových výplní [W/(m2.K)]</t>
  </si>
  <si>
    <t>Vyberte typ dveří, vrat</t>
  </si>
  <si>
    <t xml:space="preserve"> Plocha vyměňovaných dveří, vrat [m2]</t>
  </si>
  <si>
    <t>Součinitel prostupu tepla nových dveří, vrat [W/(m2.K)]</t>
  </si>
  <si>
    <t>Typ dveří, vrat</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</si>
  <si>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</si>
  <si>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</si>
  <si>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</si>
  <si>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</si>
  <si>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</si>
  <si>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</si>
  <si>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</si>
  <si>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</si>
  <si>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</si>
  <si>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</si>
  <si>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</si>
  <si>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</si>
  <si>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</si>
  <si>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</si>
  <si>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</si>
  <si>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</si>
  <si>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</si>
  <si>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</si>
  <si>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</si>
  <si>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</si>
  <si>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</si>
  <si>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</si>
  <si>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</si>
  <si>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</si>
  <si>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</si>
  <si>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2.1.1</t>
  </si>
  <si>
    <t>2.1.2</t>
  </si>
  <si>
    <t>2.8</t>
  </si>
  <si>
    <t>Jaký typ zdroje je instalován?</t>
  </si>
  <si>
    <t>pomocné pro zobrazení</t>
  </si>
  <si>
    <t>Výsledek</t>
  </si>
  <si>
    <t>Realizovaná opatření</t>
  </si>
  <si>
    <t>výkon kW</t>
  </si>
  <si>
    <t>vyhodnocení úč.</t>
  </si>
  <si>
    <t>Výchozí roční spotřeba energie</t>
  </si>
  <si>
    <t>Výsledná roční spotřeba energie</t>
  </si>
  <si>
    <t>Roční úspora paliv a energie</t>
  </si>
  <si>
    <t xml:space="preserve">Roční úspora CO2 [t] </t>
  </si>
  <si>
    <t>Roční úspora paliv a energie [%]</t>
  </si>
  <si>
    <t xml:space="preserve">Roční úspora CO2 [%] </t>
  </si>
  <si>
    <t>2. Zateplení, výměna oken / thermal insulation, windows replacement</t>
  </si>
  <si>
    <t>3. Náhrada světelných zdrojů LED zdroji / Replacement of lighting with LED</t>
  </si>
  <si>
    <t>Popis</t>
  </si>
  <si>
    <t>Vyhodnocení</t>
  </si>
  <si>
    <t>1. Zaškrtněte, jaká opatření plánujete realizovat:</t>
  </si>
  <si>
    <t>Nástroj k posouzení potenciálu úspor energie v programu Úspory energie</t>
  </si>
  <si>
    <t xml:space="preserve">Výchozí roční spotřeba energie </t>
  </si>
  <si>
    <t>Roční úspora nákladů na energii [Kč]</t>
  </si>
  <si>
    <t>Opatření splňuje požadavek programu</t>
  </si>
  <si>
    <t>Celkové vyhodnocení</t>
  </si>
  <si>
    <t>opatření 2-zateplení</t>
  </si>
  <si>
    <t>opatření 3-osvětlení</t>
  </si>
  <si>
    <t>Typ posuzovaného objektu</t>
  </si>
  <si>
    <t>Znáte roční spotřebu budovy?</t>
  </si>
  <si>
    <t xml:space="preserve">Jaká je roční spotřeba domu? </t>
  </si>
  <si>
    <t xml:space="preserve">Jaká je celková vytápěná plocha? </t>
  </si>
  <si>
    <t>Období výstavby</t>
  </si>
  <si>
    <t>hnědé uhlí</t>
  </si>
  <si>
    <r>
      <rPr>
        <b/>
        <sz val="11"/>
        <rFont val="Calibri"/>
        <family val="2"/>
        <charset val="238"/>
        <scheme val="minor"/>
      </rPr>
      <t>Vypočtená</t>
    </r>
    <r>
      <rPr>
        <sz val="11"/>
        <rFont val="Calibri"/>
        <family val="2"/>
        <charset val="238"/>
        <scheme val="minor"/>
      </rPr>
      <t xml:space="preserve"> hodnota dodané energie ER </t>
    </r>
    <r>
      <rPr>
        <b/>
        <sz val="11"/>
        <rFont val="Calibri"/>
        <family val="2"/>
        <charset val="238"/>
        <scheme val="minor"/>
      </rPr>
      <t>před realizací projektu</t>
    </r>
  </si>
  <si>
    <r>
      <rPr>
        <b/>
        <sz val="11"/>
        <rFont val="Calibri"/>
        <family val="2"/>
        <charset val="238"/>
        <scheme val="minor"/>
      </rPr>
      <t>Vypočtená</t>
    </r>
    <r>
      <rPr>
        <sz val="11"/>
        <rFont val="Calibri"/>
        <family val="2"/>
        <charset val="238"/>
        <scheme val="minor"/>
      </rPr>
      <t xml:space="preserve"> hodnota referenční dodané energie ER </t>
    </r>
    <r>
      <rPr>
        <b/>
        <sz val="11"/>
        <rFont val="Calibri"/>
        <family val="2"/>
        <charset val="238"/>
        <scheme val="minor"/>
      </rPr>
      <t>po realizaci projektu</t>
    </r>
  </si>
  <si>
    <r>
      <rPr>
        <b/>
        <sz val="11"/>
        <rFont val="Calibri"/>
        <family val="2"/>
        <charset val="238"/>
        <scheme val="minor"/>
      </rPr>
      <t>Vypočtená</t>
    </r>
    <r>
      <rPr>
        <sz val="11"/>
        <rFont val="Calibri"/>
        <family val="2"/>
        <charset val="238"/>
        <scheme val="minor"/>
      </rPr>
      <t xml:space="preserve"> hodnota dodané energie ER </t>
    </r>
    <r>
      <rPr>
        <b/>
        <sz val="11"/>
        <rFont val="Calibri"/>
        <family val="2"/>
        <charset val="238"/>
        <scheme val="minor"/>
      </rPr>
      <t>po realizaci projektu</t>
    </r>
  </si>
  <si>
    <r>
      <rPr>
        <b/>
        <sz val="11"/>
        <rFont val="Calibri"/>
        <family val="2"/>
        <charset val="238"/>
        <scheme val="minor"/>
      </rPr>
      <t>Vypočtená</t>
    </r>
    <r>
      <rPr>
        <sz val="11"/>
        <rFont val="Calibri"/>
        <family val="2"/>
        <charset val="238"/>
        <scheme val="minor"/>
      </rPr>
      <t xml:space="preserve"> hodnota průměrného součinitele prostupu tepla </t>
    </r>
    <r>
      <rPr>
        <b/>
        <sz val="11"/>
        <rFont val="Calibri"/>
        <family val="2"/>
        <charset val="238"/>
        <scheme val="minor"/>
      </rPr>
      <t>U</t>
    </r>
    <r>
      <rPr>
        <b/>
        <vertAlign val="subscript"/>
        <sz val="11"/>
        <rFont val="Calibri"/>
        <family val="2"/>
        <charset val="238"/>
        <scheme val="minor"/>
      </rPr>
      <t>em</t>
    </r>
    <r>
      <rPr>
        <b/>
        <sz val="11"/>
        <rFont val="Calibri"/>
        <family val="2"/>
        <charset val="238"/>
        <scheme val="minor"/>
      </rPr>
      <t xml:space="preserve"> po realizaci projektu</t>
    </r>
  </si>
  <si>
    <r>
      <rPr>
        <b/>
        <sz val="11"/>
        <rFont val="Calibri"/>
        <family val="2"/>
        <charset val="238"/>
        <scheme val="minor"/>
      </rPr>
      <t>Referenční</t>
    </r>
    <r>
      <rPr>
        <sz val="11"/>
        <rFont val="Calibri"/>
        <family val="2"/>
        <charset val="238"/>
        <scheme val="minor"/>
      </rPr>
      <t xml:space="preserve"> hodnota průměrného součinitele prostupu tepla </t>
    </r>
    <r>
      <rPr>
        <b/>
        <sz val="11"/>
        <rFont val="Calibri"/>
        <family val="2"/>
        <charset val="238"/>
        <scheme val="minor"/>
      </rPr>
      <t>U</t>
    </r>
    <r>
      <rPr>
        <b/>
        <vertAlign val="subscript"/>
        <sz val="11"/>
        <rFont val="Calibri"/>
        <family val="2"/>
        <charset val="238"/>
        <scheme val="minor"/>
      </rPr>
      <t>em,R</t>
    </r>
    <r>
      <rPr>
        <b/>
        <sz val="11"/>
        <rFont val="Calibri"/>
        <family val="2"/>
        <charset val="238"/>
        <scheme val="minor"/>
      </rPr>
      <t xml:space="preserve"> po realizaci projektu</t>
    </r>
  </si>
  <si>
    <t>Obvodový plášť</t>
  </si>
  <si>
    <t>Střecha</t>
  </si>
  <si>
    <t>Střecha - typ konstrukce</t>
  </si>
  <si>
    <t>Podlaha, strop nad suterénem</t>
  </si>
  <si>
    <t>Okna</t>
  </si>
  <si>
    <t>Dveře, vrata</t>
  </si>
  <si>
    <t>Střešní okna, světlíky</t>
  </si>
  <si>
    <t>Podlaha, strop nad suterénem typ konstrukce</t>
  </si>
  <si>
    <t>Zdroj</t>
  </si>
  <si>
    <t>vyhonocení plnění požadavků</t>
  </si>
  <si>
    <t>Výchozí roční spotřeba energie [kWh]</t>
  </si>
  <si>
    <t xml:space="preserve">Výsledná roční spotřeba energie [kWh] </t>
  </si>
  <si>
    <t>Roční úspora paliv a energie [kWh]</t>
  </si>
  <si>
    <t>Vyhodnocení opatření</t>
  </si>
  <si>
    <t>3. Náhrada světelných zdrojů LED zdroji</t>
  </si>
  <si>
    <t>vytvořil:</t>
  </si>
  <si>
    <t>Spotřeba před realizací opatření</t>
  </si>
  <si>
    <t>Spotřeba po realizací opatření</t>
  </si>
  <si>
    <t>Úspora energie</t>
  </si>
  <si>
    <t>z toho:</t>
  </si>
  <si>
    <r>
      <t>úspora CO</t>
    </r>
    <r>
      <rPr>
        <vertAlign val="subscript"/>
        <sz val="11"/>
        <rFont val="Calibri"/>
        <family val="2"/>
        <charset val="238"/>
        <scheme val="minor"/>
      </rPr>
      <t>2</t>
    </r>
  </si>
  <si>
    <t>kWh/rok</t>
  </si>
  <si>
    <t>kg/rok</t>
  </si>
  <si>
    <t>Kč/rok</t>
  </si>
  <si>
    <t>Spotřeba paliv a energie před výměnou kotle</t>
  </si>
  <si>
    <t xml:space="preserve">teplo </t>
  </si>
  <si>
    <t>Spotřeba paliv a energie po výměně kotle</t>
  </si>
  <si>
    <t>Bilance spotřeby energie před a po výměně kotle</t>
  </si>
  <si>
    <t>Zatejte v %</t>
  </si>
  <si>
    <t>Spotřeba z listu kotel</t>
  </si>
  <si>
    <t>Spotřeba z listu zateplení zadaná</t>
  </si>
  <si>
    <t>Spotřeba z listu zateplení bez zadání</t>
  </si>
  <si>
    <t>Spotřeba z listu zateplení kalk</t>
  </si>
  <si>
    <t>Spotřeba z listu zateplení PENB</t>
  </si>
  <si>
    <t>Spotřeby výchozí</t>
  </si>
  <si>
    <t>potřeba před kWh</t>
  </si>
  <si>
    <t>potřeba po</t>
  </si>
  <si>
    <t>Jakého typu jsou stávající světelné zdroje?</t>
  </si>
  <si>
    <t>Jsou to klasické žárovky?</t>
  </si>
  <si>
    <t>Halogenové žárovky</t>
  </si>
  <si>
    <t>Zářivky</t>
  </si>
  <si>
    <t>Rtuťové výbojky</t>
  </si>
  <si>
    <t>Stávající spotřeba elektřiny</t>
  </si>
  <si>
    <t>Znáte celkovou spotřebu elektřiny všech světelných zdrojů?</t>
  </si>
  <si>
    <t>Výměna zdroje tepla</t>
  </si>
  <si>
    <t>Parametry stávajícího zdroje tepla</t>
  </si>
  <si>
    <t>O jaký typ zdroje se jedná?</t>
  </si>
  <si>
    <t>Jaká je spotřeba paliva za jeden rok?</t>
  </si>
  <si>
    <t>Znáte účinnost kotle?</t>
  </si>
  <si>
    <t>Jaká je účinnost?</t>
  </si>
  <si>
    <t>Jaký je instalovaný výkon kotle?</t>
  </si>
  <si>
    <t>Parametry nového zdroje tepla</t>
  </si>
  <si>
    <t>Jaký je typ nového kotle?</t>
  </si>
  <si>
    <t>Znáte účinnost nového kotle?</t>
  </si>
  <si>
    <t>Jaký je instalovaný výkon zdroje?</t>
  </si>
  <si>
    <t>Znáte sezónní účinnost (COP) tepelného čerpadla?</t>
  </si>
  <si>
    <t>Zadejte sezónní účinnost tepelného čerpadla</t>
  </si>
  <si>
    <t>Kompaktní zářivky (CFL)</t>
  </si>
  <si>
    <t>Uveďte spotřebu elektřiny</t>
  </si>
  <si>
    <t>Bilance spotřeby energie před a po realizaci výměně světelných zdrojů</t>
  </si>
  <si>
    <t>Spotřeba před výměnou světlených zdrojů</t>
  </si>
  <si>
    <t>Spotřeba po výměně světelných zdrojů</t>
  </si>
  <si>
    <t>Kolik m2 instalujete?</t>
  </si>
  <si>
    <t>Uveďte spotřebu elektřiny?</t>
  </si>
  <si>
    <t>úspora CO2</t>
  </si>
  <si>
    <t>KOTEL + ZATEPLENÍ</t>
  </si>
  <si>
    <t>spotřeba před</t>
  </si>
  <si>
    <t>spotřeba po</t>
  </si>
  <si>
    <t>CO2 před</t>
  </si>
  <si>
    <t>CO2 po</t>
  </si>
  <si>
    <t>Kč před</t>
  </si>
  <si>
    <t>Kč po</t>
  </si>
  <si>
    <t>Celkem</t>
  </si>
  <si>
    <t>0. Vyplňte identifikační údaje</t>
  </si>
  <si>
    <t>2. Zateplení, výměna výplní, instalace mechanického větrání</t>
  </si>
  <si>
    <t>Základní informace o budově</t>
  </si>
  <si>
    <t>4.</t>
  </si>
  <si>
    <t>5.</t>
  </si>
  <si>
    <t>6.</t>
  </si>
  <si>
    <t>Jaká je roční spotřeba energie budovy?</t>
  </si>
  <si>
    <t>Vlastnosti budovy před realizací opatření</t>
  </si>
  <si>
    <t>Popis stávajících konstrukcí</t>
  </si>
  <si>
    <t>Zateplení budovy</t>
  </si>
  <si>
    <t>Opatření k realizaci</t>
  </si>
  <si>
    <t>Výměna oken, výplní ve stěně</t>
  </si>
  <si>
    <t xml:space="preserve">Výměna střešních oken, světlíků </t>
  </si>
  <si>
    <t>okna vyměněná po roce 2011</t>
  </si>
  <si>
    <t>okna vyměněná před 2011</t>
  </si>
  <si>
    <t>budova!$C$167:$C$174</t>
  </si>
  <si>
    <t>budova!$C$175:$C$182</t>
  </si>
  <si>
    <t>budova!$C$183:$C$190</t>
  </si>
  <si>
    <t>budova!$C$191:$C$198</t>
  </si>
  <si>
    <t>budova!$C$199:$C$207</t>
  </si>
  <si>
    <t>budova!$C$208:$C$214</t>
  </si>
  <si>
    <t>budova!$C$215:$C$221</t>
  </si>
  <si>
    <t>budova!$C$229:$C$235</t>
  </si>
  <si>
    <t>budova!$C$236:$C$242</t>
  </si>
  <si>
    <t>budova!$C$243:$C$249</t>
  </si>
  <si>
    <t>budova!$C$250:$C$256</t>
  </si>
  <si>
    <t>budova!$C$257:$C$262</t>
  </si>
  <si>
    <t>budova!$C$263:$C$268</t>
  </si>
  <si>
    <t>budova!$C$269:$C$274</t>
  </si>
  <si>
    <t>budova!$C$275:$C$280</t>
  </si>
  <si>
    <t>budova!$C$281:$C$286</t>
  </si>
  <si>
    <t>budova!$C$287:$C$289</t>
  </si>
  <si>
    <t>budova!$C$290:$C$291</t>
  </si>
  <si>
    <t>budova!$C$292:$C$293</t>
  </si>
  <si>
    <t>budova!$C$294:$C$295</t>
  </si>
  <si>
    <t>budova!$C$296:$C$297</t>
  </si>
  <si>
    <t>budova!$C$300:$C$304</t>
  </si>
  <si>
    <t>budova!$C$298:$C$299</t>
  </si>
  <si>
    <t>4.1.</t>
  </si>
  <si>
    <t>4.2.</t>
  </si>
  <si>
    <t>4.3.</t>
  </si>
  <si>
    <t>4.4.</t>
  </si>
  <si>
    <t>4.5.</t>
  </si>
  <si>
    <t>4.6.</t>
  </si>
  <si>
    <t>4.7.</t>
  </si>
  <si>
    <t>Zadejte účinnost rekuperace systému nuceného větrání v %</t>
  </si>
  <si>
    <t>nucené větrání</t>
  </si>
  <si>
    <t xml:space="preserve">nucené větrání </t>
  </si>
  <si>
    <t>Spotřeba celkem  v GJ</t>
  </si>
  <si>
    <t>Měrná spotřeba energie budovy (kWh/m2)</t>
  </si>
  <si>
    <t>V jakém období byl zdroj vyroben?</t>
  </si>
  <si>
    <t>Náhrada světelných zdrojů</t>
  </si>
  <si>
    <t>budova!$C$71:$C$73</t>
  </si>
  <si>
    <t>centrální zásobování teplem-před 1980</t>
  </si>
  <si>
    <t>centrální zásobování teplem-1980-2000</t>
  </si>
  <si>
    <t>centrální zásobování teplem-2000-2010</t>
  </si>
  <si>
    <t>centrální zásobování teplem-2010 a novější</t>
  </si>
  <si>
    <t>Je výměna kotle zahrnuta v PENB?</t>
  </si>
  <si>
    <t>PENB</t>
  </si>
  <si>
    <t>Adresa žadatele:</t>
  </si>
  <si>
    <t>Adresa místa realizace projektu:</t>
  </si>
  <si>
    <t>parametry!A53:A56</t>
  </si>
  <si>
    <t>parametry!A52:A52</t>
  </si>
  <si>
    <t>parametry!A57:A57</t>
  </si>
  <si>
    <t>parametry!A58:A58</t>
  </si>
  <si>
    <t>1. Výměna zdroje tepla</t>
  </si>
  <si>
    <t>Je výměna osvětlení zahrnuta v PENB?</t>
  </si>
  <si>
    <t>Identifikační údaje</t>
  </si>
  <si>
    <t xml:space="preserve">Žadatel, který provedl Energetické posouzení projektu, si zajistil patřičnou kontrolu kvality a platnosti výsledků samo-hodnotícího nástroje. Potvrzuje, že Energetické posouzení bylo provedeno správně a v souladu s podmínkami uvedenými v Příloze č. 4 Výzvy v rámci Finančního nástroje Úspory energie - úvěry. Byly použity správné údaje a byla zvolena správná opatření. </t>
  </si>
  <si>
    <t>Žadatel je povinen realizovat projekt dle zadaných parametrů v rozsahu popisu zadanými pro správné vyhodnocení energetické úspory. V případě, že by došlo během realizace k odchýlení od plánovaného stavu, je žadatel povinen předložit nové energetické posouzení, které prokáže, že projekt splňuje parametry platné Výzvy programu Úspory energie - úvěry. V případě, že by energetické hodnocení nemohlo být použito pro nový stav, je žadatel povinen postupovat podle pravidel Výzvy, a to zpracovat energetický posudek a následně ověřovací energetický posudek, který prokáže splnění podmínek Výzvy.</t>
  </si>
  <si>
    <t>Způsobilé výdaje pro realizaci projektu jsou ve výši</t>
  </si>
  <si>
    <t>3. Vyplňte postupně následující formuláře:</t>
  </si>
  <si>
    <t>4. Výsledky</t>
  </si>
  <si>
    <t>5. Specifikace realizovaných opatření</t>
  </si>
  <si>
    <t>Výdaje na technické zhodnocení stavby (materiál a práce pro provedení zateplení, výměna u stavebních otvorů, další stavební práce spojené s provedením energetického opatření)</t>
  </si>
  <si>
    <t>Výdaje na provedení výměny stávajícího osvětlení v budovách</t>
  </si>
  <si>
    <t>Výdaje na výměnu stávajícího zdroje energie (výměna kotle, apod.)</t>
  </si>
  <si>
    <t>Výdaje celkem</t>
  </si>
  <si>
    <t xml:space="preserve">Výdaje na technické zhodnocení stavby </t>
  </si>
  <si>
    <t xml:space="preserve">Výdaje na provedení výměny stávajícího osvětlení v budovách </t>
  </si>
  <si>
    <t xml:space="preserve">Výdaje na výměnu stávajícího zdroje energie (výměna kotle, apod.) </t>
  </si>
  <si>
    <t>Předpokládané výdaje na realizaci projektu:</t>
  </si>
  <si>
    <t>Projekt,  který  je předmětem  energetické  posouzení generuje  roční úsporu  primárních  energetických  vstupů  v hodnotě</t>
  </si>
  <si>
    <t>Jméno osoby jednající za žadatele a podpis</t>
  </si>
  <si>
    <t>není relevantní</t>
  </si>
  <si>
    <t xml:space="preserve">Vysvětlivky pro žadatele:
• Odpovězte prosím na otázky v checklistu ano / ne / není relevantní.
• Po zaškrtnutí odpovědí pokračujte prosím podpisem prohlášení. 
</t>
  </si>
  <si>
    <t>Vyberte z předvolených konstrukcí konstrukci, která nejvíce odpovídá vašemu objektu</t>
  </si>
  <si>
    <t>Vyberte z předvolených konstrukcí konstrukci, která nejvíce odpovídá vašemu objektu, pokud je předvolená pouze 1 možnost, vyberte ji</t>
  </si>
  <si>
    <t>Vyberte výplň, kterou hodláte měnit. Pokud měníte více typů výplní, zvolte tu , která odpovídá největší ploše měněných výplní.</t>
  </si>
  <si>
    <t>Vyberte dveřní výplň, kterou hodláte měnit. Pokud měníte více typů výplní, zvolte tu , která odpovídá největší ploše měněných výplní.</t>
  </si>
  <si>
    <t>Pokud v budově nejsou střešní okna ani světlíky, nevybírejte nic a pokračujte vyplněním tabulky č. 4</t>
  </si>
  <si>
    <t>Tloušťku izolace zadejte v mm</t>
  </si>
  <si>
    <r>
      <t>Zadejte hodnotu z Průkazu energetické náročnosti po realizaci projektu z tabulky a.1) požadavky na součinitel prostupu tepla - Vypočtená hodnota U</t>
    </r>
    <r>
      <rPr>
        <vertAlign val="subscript"/>
        <sz val="11"/>
        <rFont val="Calibri"/>
        <family val="2"/>
        <charset val="238"/>
        <scheme val="minor"/>
      </rPr>
      <t>j</t>
    </r>
  </si>
  <si>
    <t>Definujte parametry opatření, která hodláte realizovat v rámci programu</t>
  </si>
  <si>
    <t>Zadejte hodnotu z Průkazu energetické náročnosti po realizaci projektu z tabulky a.1) požadavky na součinitel prostupu tepla - Vypočtená hodnota Uj</t>
  </si>
  <si>
    <t>Vyberte typ posuzované budovy</t>
  </si>
  <si>
    <t>Hodnota je nastavená dle specifických podmínek programu a vámi zvoleného typu budovy a dalších kritérií</t>
  </si>
  <si>
    <t>Vyberte typ oken, která nejlépe charakterizují vámi realizované. V případě realizace více typů, uveďte ten s největší plochou</t>
  </si>
  <si>
    <t>Vyberte typ dveří, které nejlépe charakterizují vámi realizované. V případě realizace více typů, uveďte ten s největší plochou.</t>
  </si>
  <si>
    <t>Vyberte typ zateplení, které nejlépe charakterizuje vámi realizované. V případě realizace více typů, uveďte ten s největší plochou.</t>
  </si>
  <si>
    <t>Vyberte typ zateplení, které nejlépe charakterizuje vámi realizované.  V případě realizace více typů, uveďte ten s největší plochou.</t>
  </si>
  <si>
    <t>úspora z PENB</t>
  </si>
  <si>
    <t>úspora na potřebě</t>
  </si>
  <si>
    <t>z konstrukcí</t>
  </si>
  <si>
    <t>z PENB</t>
  </si>
  <si>
    <t>4.7.4</t>
  </si>
  <si>
    <t>Je toto opatření součástí PENB? Vyberte ano / ne</t>
  </si>
  <si>
    <t>TZL kg/t</t>
  </si>
  <si>
    <t>TZL kg/10^6m3</t>
  </si>
  <si>
    <t>kg/MWh</t>
  </si>
  <si>
    <t>kg/t</t>
  </si>
  <si>
    <t>TZL</t>
  </si>
  <si>
    <t>PM10</t>
  </si>
  <si>
    <t>PM2,5</t>
  </si>
  <si>
    <t>%</t>
  </si>
  <si>
    <t>kg/m3</t>
  </si>
  <si>
    <t>kg/l</t>
  </si>
  <si>
    <t>kg/kg</t>
  </si>
  <si>
    <t>kg/kWh</t>
  </si>
  <si>
    <t>TZL kg</t>
  </si>
  <si>
    <t>TZL v kg/kg</t>
  </si>
  <si>
    <t>PM10 kg</t>
  </si>
  <si>
    <t>PM2,5 kg</t>
  </si>
  <si>
    <t>Roční úspora emisí tuhých látek [kg]</t>
  </si>
  <si>
    <r>
      <t>Roční úspora emisí frakcí PM</t>
    </r>
    <r>
      <rPr>
        <b/>
        <vertAlign val="subscript"/>
        <sz val="12"/>
        <color theme="0"/>
        <rFont val="Calibri"/>
        <family val="2"/>
        <charset val="238"/>
        <scheme val="minor"/>
      </rPr>
      <t>10</t>
    </r>
    <r>
      <rPr>
        <b/>
        <sz val="12"/>
        <color theme="0"/>
        <rFont val="Calibri"/>
        <family val="2"/>
        <charset val="238"/>
        <scheme val="minor"/>
      </rPr>
      <t xml:space="preserve"> [kg]</t>
    </r>
  </si>
  <si>
    <r>
      <t>Roční úspora emisí CO</t>
    </r>
    <r>
      <rPr>
        <b/>
        <vertAlign val="subscript"/>
        <sz val="12"/>
        <color theme="0"/>
        <rFont val="Calibri"/>
        <family val="2"/>
        <charset val="238"/>
        <scheme val="minor"/>
      </rPr>
      <t>2</t>
    </r>
    <r>
      <rPr>
        <b/>
        <sz val="12"/>
        <color theme="0"/>
        <rFont val="Calibri"/>
        <family val="2"/>
        <charset val="238"/>
        <scheme val="minor"/>
      </rPr>
      <t xml:space="preserve"> [kg] </t>
    </r>
  </si>
  <si>
    <r>
      <t>Roční úspora emisí CO</t>
    </r>
    <r>
      <rPr>
        <b/>
        <vertAlign val="subscript"/>
        <sz val="12"/>
        <color theme="0"/>
        <rFont val="Calibri"/>
        <family val="2"/>
        <charset val="238"/>
        <scheme val="minor"/>
      </rPr>
      <t>2</t>
    </r>
    <r>
      <rPr>
        <b/>
        <sz val="12"/>
        <color theme="0"/>
        <rFont val="Calibri"/>
        <family val="2"/>
        <charset val="238"/>
        <scheme val="minor"/>
      </rPr>
      <t xml:space="preserve"> [%] </t>
    </r>
  </si>
  <si>
    <r>
      <t>Roční úspora emisí  frakcí PM</t>
    </r>
    <r>
      <rPr>
        <b/>
        <vertAlign val="subscript"/>
        <sz val="12"/>
        <color theme="0"/>
        <rFont val="Calibri"/>
        <family val="2"/>
        <charset val="238"/>
        <scheme val="minor"/>
      </rPr>
      <t>2,5</t>
    </r>
    <r>
      <rPr>
        <b/>
        <sz val="12"/>
        <color theme="0"/>
        <rFont val="Calibri"/>
        <family val="2"/>
        <charset val="238"/>
        <scheme val="minor"/>
      </rPr>
      <t xml:space="preserve"> [kg]</t>
    </r>
  </si>
  <si>
    <r>
      <t>Roční úspora  emisí CO</t>
    </r>
    <r>
      <rPr>
        <b/>
        <vertAlign val="subscript"/>
        <sz val="11"/>
        <rFont val="Calibri"/>
        <family val="2"/>
        <charset val="238"/>
        <scheme val="minor"/>
      </rPr>
      <t>2</t>
    </r>
    <r>
      <rPr>
        <b/>
        <sz val="11"/>
        <rFont val="Calibri"/>
        <family val="2"/>
        <charset val="238"/>
        <scheme val="minor"/>
      </rPr>
      <t xml:space="preserve"> [kg] </t>
    </r>
  </si>
  <si>
    <r>
      <t>Roční úspora emisí CO</t>
    </r>
    <r>
      <rPr>
        <b/>
        <vertAlign val="subscript"/>
        <sz val="11"/>
        <rFont val="Calibri"/>
        <family val="2"/>
        <charset val="238"/>
        <scheme val="minor"/>
      </rPr>
      <t>2</t>
    </r>
    <r>
      <rPr>
        <b/>
        <sz val="11"/>
        <rFont val="Calibri"/>
        <family val="2"/>
        <charset val="238"/>
        <scheme val="minor"/>
      </rPr>
      <t xml:space="preserve"> [%]</t>
    </r>
  </si>
  <si>
    <r>
      <t>Roční úspora emisí frakcí PM</t>
    </r>
    <r>
      <rPr>
        <b/>
        <vertAlign val="subscript"/>
        <sz val="11"/>
        <rFont val="Calibri"/>
        <family val="2"/>
        <charset val="238"/>
        <scheme val="minor"/>
      </rPr>
      <t>10</t>
    </r>
    <r>
      <rPr>
        <b/>
        <sz val="11"/>
        <rFont val="Calibri"/>
        <family val="2"/>
        <charset val="238"/>
        <scheme val="minor"/>
      </rPr>
      <t xml:space="preserve"> [kg]</t>
    </r>
  </si>
  <si>
    <r>
      <t>Roční úspora emisí  frakcí PM</t>
    </r>
    <r>
      <rPr>
        <b/>
        <vertAlign val="subscript"/>
        <sz val="11"/>
        <rFont val="Calibri"/>
        <family val="2"/>
        <charset val="238"/>
        <scheme val="minor"/>
      </rPr>
      <t>2,5</t>
    </r>
    <r>
      <rPr>
        <b/>
        <sz val="11"/>
        <rFont val="Calibri"/>
        <family val="2"/>
        <charset val="238"/>
        <scheme val="minor"/>
      </rPr>
      <t xml:space="preserve"> [kg]</t>
    </r>
  </si>
  <si>
    <r>
      <t>Měrné způsobilé výdaje na snížení CO</t>
    </r>
    <r>
      <rPr>
        <b/>
        <vertAlign val="subscript"/>
        <sz val="11"/>
        <rFont val="Calibri"/>
        <family val="2"/>
        <charset val="238"/>
        <scheme val="minor"/>
      </rPr>
      <t>2</t>
    </r>
  </si>
  <si>
    <r>
      <t>Výše roční úspory emisí CO</t>
    </r>
    <r>
      <rPr>
        <b/>
        <vertAlign val="subscript"/>
        <sz val="11"/>
        <rFont val="Calibri"/>
        <family val="2"/>
        <charset val="238"/>
        <scheme val="minor"/>
      </rPr>
      <t>2</t>
    </r>
    <r>
      <rPr>
        <b/>
        <sz val="11"/>
        <rFont val="Calibri"/>
        <family val="2"/>
        <charset val="238"/>
        <scheme val="minor"/>
      </rPr>
      <t xml:space="preserve"> realizované projektem jsou ve výši</t>
    </r>
  </si>
  <si>
    <t>Jaká je celková vytápěná (energeticky vztažná) plocha?</t>
  </si>
  <si>
    <t>Výběrem z předvolených možností definujte budovu, kterou chcete rekonstruovat v rámci programu</t>
  </si>
  <si>
    <t>"Šikmá střecha" znamená využívané podkroví, "Strop půdy" znamená nevytápěnou půdu</t>
  </si>
  <si>
    <t>Pokud je v budově vytápěný suterén - zvolte "Podlaha na zemině"</t>
  </si>
  <si>
    <t>TZL kg před</t>
  </si>
  <si>
    <t>TZL kg po</t>
  </si>
  <si>
    <t>PM10 kg před</t>
  </si>
  <si>
    <t>PM10 kg po</t>
  </si>
  <si>
    <t>úspora TZL kg</t>
  </si>
  <si>
    <t>úspora PM10</t>
  </si>
  <si>
    <t>PM2,5 kg před</t>
  </si>
  <si>
    <t>PM2,5 kg po</t>
  </si>
  <si>
    <t>úspora PM2,5</t>
  </si>
  <si>
    <t>jednotka</t>
  </si>
  <si>
    <t>kotel na tuhá paliva-před 1980-hnědé uhlí</t>
  </si>
  <si>
    <t>kotel na tuhá paliva-1980-2000-hnědé uhlí</t>
  </si>
  <si>
    <t>kotel na tuhá paliva-2000-2010-hnědé uhlí</t>
  </si>
  <si>
    <t>kotel na tuhá paliva-2010 a novější-hnědé uhlí</t>
  </si>
  <si>
    <t>kotel na tuhá paliva-před 1980-černé uhlí</t>
  </si>
  <si>
    <t>kotel na tuhá paliva-1980-2000-černé uhlí</t>
  </si>
  <si>
    <t>kotel na tuhá paliva-2000-2010-černé uhlí</t>
  </si>
  <si>
    <t>kotel na tuhá paliva-2010 a novější-černé uhlí</t>
  </si>
  <si>
    <t>kotel na tuhá paliva-před 1980-palivové dřevo</t>
  </si>
  <si>
    <t>kotel na tuhá paliva-1980-2000-palivové dřevo</t>
  </si>
  <si>
    <t>kotel na tuhá paliva-2000-2010-palivové dřevo</t>
  </si>
  <si>
    <t>kotel na tuhá paliva-2010 a novější-palivové dřevo</t>
  </si>
  <si>
    <t>kotel na tuhá paliva-před 1980-pelety</t>
  </si>
  <si>
    <t>kotel na tuhá paliva-1980-2000-pelety</t>
  </si>
  <si>
    <t>kotel na tuhá paliva-2000-2010-pelety</t>
  </si>
  <si>
    <t>kotel na tuhá paliva-2010 a novější-pelety</t>
  </si>
  <si>
    <t>PM10 v %</t>
  </si>
  <si>
    <t>PM2,5 v %</t>
  </si>
  <si>
    <t>Heslo:</t>
  </si>
  <si>
    <t>výběr</t>
  </si>
  <si>
    <t>Označte pomocí x  jednu z možností</t>
  </si>
  <si>
    <t>parametry!A52:A58</t>
  </si>
  <si>
    <t>a) Projekt dosáhl minimální dosažené úspory ve výši 10 % a dokázal dosažitelnost úspory, je v souladu s normami a právními předpisy EU v oblasti životního prostředí a je nákladově optimální, tj. předpokládá pořízení majetku v dané cenové hladině přiměřené potřebě realizace projektu.</t>
  </si>
  <si>
    <t>b) Podle zákona č. 165/2012 Sb. o podporovaných zdrojích energie a o změně některých zákonů ve znění pozdějších předpisů § 25 bod 5) Investiční podpora tepla podle odstavců 3 a 4 se nevztahuje na solární systémy nebo systémy s tepelnými čerpadly, které by svým provozem zhoršily celkovou průměrnou roční účinnost stávajících účinných soustav zásobování tepelnou energií. Tyto soustavy zásobování tepelnou energií eviduje a způsobem umožňujícím dálkový přístup zveřejňuje Energetický regulační úřad do 30. dubna následujícího roku.</t>
  </si>
  <si>
    <t>e) Samostatnou instalaci OZE pro vlastní spotřebu podniku (využití biomasy, solární tepelná čerpadla a fotovoltaické systémy) není možné podpořit, pokud nebude úspora energie ve smyslu definice podle směrnice 2012/27/EU o energetické účinnosti, tzn. úspory energie dosažené zvýšení energetické účinnosti oproti původnímu zdroji</t>
  </si>
  <si>
    <t>g) Pokud se jedná o provozovatele stacionárního zařízení v České republice, který je součástí Evropského systému emisního obchodování, tak se na projekty vztahuje omezení vyplývající z preambule (3) a z kapitoly I článku 3 bod 3. b) Nařízení Evropského parlamentu a rady (EU) č. 1301/2013 ze dne 17. prosince 2013 o Evropském fondu pro regionální rozvoj, o zvláštních ustanovených týkajících se cíle Investice pro růst a zaměstnanost a o zrušení nařízení (ES) č. 1080/2006.</t>
  </si>
  <si>
    <t>j) V případě realizace kotle na biomasu budou podporovány pouze kotle splňující požadavky Nařízení komise č. 2015/1189 ze dne 28. dubna 2015, kterým se provádí směrnice Evropského parlamentu a Rady 2009/125/ES, pokud jde o požadavky na ekodesign kotlů na tuhá paliva požadavky od 1. 1. 2020).</t>
  </si>
  <si>
    <t>k) Podpořeny nebudou projekty zaměřené na rekonstrukci/výstavbu zdroje kombinované výroby elektřiny a tepla a monovýroby tepla, která využívá jako palivo uhlí nebo spoluspalování uhlí a biomasy.</t>
  </si>
  <si>
    <t>l) V případě projektu, který bude využívat dřevní biomasu, je nutno zajistit udržitelné dodávky z lokálních zdrojů. Tato udržitelná dodávka z lokálních zdrojů je buď z vlastních lokálních zdrojů, nebo bude potvrzená příslibem dodávky dřevní biomasy ve formě smlouvy o smlouvě budoucí od lokálního dodavatele.</t>
  </si>
  <si>
    <t>m) Projekt nesmí být financován provozní podporou obnovitelných zdrojů energie.</t>
  </si>
  <si>
    <t>n) Podpořeny budou pouze projekty, které splňují požadavky mezních hodnot emisí pro spalovací zařízení podle Směrnice 2015/2193/ES o omezení emisí některých znečišťujících látek do ovzduší ze středních spalovacích zařízení.</t>
  </si>
  <si>
    <t>q) V případě realizace opatření ke snižování energetické náročnosti budov, u kterých dochází k jiné než větší změně dokončené budovy nebo větší změně dokončené budovy, ale není možné z technických nebo ekonomických důvodů plnit bod „mp“, pak všechny měněné/upravované stavební prvky/konstrukce obálky budovy na systémové hranici, na kterých dochází k realizaci opatření, musí splnit podmínku na součinitel prostupu tepla příslušné Urec dle ČSN 730540 - 2:2011 a uvažované návrhové teploty.</t>
  </si>
  <si>
    <t xml:space="preserve">r) Pro průmyslové a výrobní provozy, dílenské provozovny a zemědělské budovy se spotřebou energie do 700 GJ za rok platí pro danou část opatření podmínka U ≤ UN (Normové hodnoty součinitele prostupu tepla UN, pro uvažovanou návrhovou teplotu jednotlivých konstrukcí dle ČSN 73 0540-2:2011 Tepelná ochrana budov). </t>
  </si>
  <si>
    <t>s) Požadavky podle bodů „p“ nebo „q“ nebo „r“ se netýkají památkově chráněných budov v souladu s § 7 odst. 5 zákona č. 406/2000 Sb. ve znění pozdějších předpisů a architektonicky cenných budov.</t>
  </si>
  <si>
    <t>t) V případě realizace opatření ke snižování energetické náročnosti budov jednoznačně definována povinnost na vyregulování otopné soustavy.</t>
  </si>
  <si>
    <t>u) V případě realizace opatření zahrnující větrací jednotky musí být plněny požadavky dle Nařízení Komise (EU) 1253/2014 týkající se požadavků na ekodesign větracích jednotek.</t>
  </si>
  <si>
    <t>Znáte účinnost zdroje?</t>
  </si>
  <si>
    <t>Znáte účinnost nového zdroje?</t>
  </si>
  <si>
    <t>Jaký je typ nového zdroje?</t>
  </si>
  <si>
    <t>Jaký se počet uvažovaných pracovních dní za rok?</t>
  </si>
  <si>
    <t>d</t>
  </si>
  <si>
    <t>Pokud chcete změnit dříve vyplněnou buňku je nutné resetovat dosavadní postup na tomto listu pomocí tlačítka "reset" níže</t>
  </si>
  <si>
    <t>FVE</t>
  </si>
  <si>
    <t>tepelné cerpadlo</t>
  </si>
  <si>
    <t>tepelné cerpadlo-před 1980</t>
  </si>
  <si>
    <t>tepelné cerpadlo-1980-2000</t>
  </si>
  <si>
    <t>tepelné cerpadlo-2000-2010</t>
  </si>
  <si>
    <t>tepelné cerpadlo-2010 a novější</t>
  </si>
  <si>
    <t>4. FVE</t>
  </si>
  <si>
    <t>opatření 4-FVE</t>
  </si>
  <si>
    <t>kWp</t>
  </si>
  <si>
    <t xml:space="preserve">  </t>
  </si>
  <si>
    <t xml:space="preserve"> </t>
  </si>
  <si>
    <t xml:space="preserve">Roční výroba FVE </t>
  </si>
  <si>
    <t>Roční úspora paliv, energie a FVE</t>
  </si>
  <si>
    <t>v) Investice musí vést ke snížení emisí CO2 v porovnání se stávajícími zařízeními v případě přechodu na jiná paliva minimálně o 30 % (například z tuhých fosilních paliv na zemní plyn). Tato podmínka se nevztahuje na výměnu stávajících plynových kotlů s novými jednotkami (vysoce účinné kondenzační kotle). Investice mohou zahrnovat kotle na biomasu. Do celkové energické bilance pro výpočet snížení CO2 vlivem instalace nového zdroje nemusí být započítána spotřeba energie na technologické a ostatní procesy.</t>
  </si>
  <si>
    <t>1.4b</t>
  </si>
  <si>
    <t>1.4a</t>
  </si>
  <si>
    <t>4.
FVE</t>
  </si>
  <si>
    <t>Parametry FVE systému</t>
  </si>
  <si>
    <t>Je součástí projektu instalace FVE také akumulace elektrické energie do baterie?</t>
  </si>
  <si>
    <t>Jaký je jmenovitý instalovaný výkon FVE ?</t>
  </si>
  <si>
    <t>Jaká je předpokládaná roční výroba elektrické energie z FVE ?</t>
  </si>
  <si>
    <t>Jaká je jmenovitá kapacita instalované baterie ?</t>
  </si>
  <si>
    <t>Jaká je celková roční spotřeba elektrické energie v budově / budovách, pro které se FVE instaluje ?</t>
  </si>
  <si>
    <t>w) Maximální možný instalovaný výkon fotovoltaického systému je 1 MWp , který musí být umístěn na střešní konstrukci nebo na obvodové zdi jedné budovy spojené se zemí pevným základem evidované v katastru nemovitostí.</t>
  </si>
  <si>
    <t>Výdaje na FVE</t>
  </si>
  <si>
    <t>o) o) Pokud v rámci předcházejících 3 let nelze doložit energetické vstupy spotřeby energie alespoň za jeden rok na základě předložených faktur za energii (bude akceptováno období začínající od 1. 1. 2016), tak projekt není způsobilý. 
Neuplatí na projekty, kde opatření mají vliv pouze na celkovou dodanou energii do budovy podle vyhlášky 264/2020 Sb., o energetické náročnosti budov, tj. na jakoukoliv kombinaci dílčích dodaných energií na vytápění, chlazení, větrání, úpravu vlhkosti vzduchu, přípravu teplé vody a osvětlení.</t>
  </si>
  <si>
    <t>p) Po realizaci projektu musí budova plnit minimálně parametry energetické náročnosti budov podle požadavků definovaných § 6 odst. 2 písm. b) vyhlášky 264/2020 Sb., o energetické náročnosti budov). Hodnoty ukazatelů energetické náročnosti hodnocené budovy (průměrný součinitel prostupu tepla a celková dodaná energie za rok nejsou vyšší než referenční hodnoty těchto ukazatelů energetické náročnosti pro referenční budovu.</t>
  </si>
  <si>
    <t>Verze - 12.03</t>
  </si>
  <si>
    <t>u klientů Národní rozvojová banky realizací jednoho až čtyř úsporných opatření nebo jejich kombinací.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</si>
</sst>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č&quot;_-;\-* #,##0.00\ &quot;Kč&quot;_-;_-* &quot;-&quot;??\ &quot;Kč&quot;_-;_-@_-"/>
    <numFmt numFmtId="164" formatCode="0.0"/>
    <numFmt numFmtId="165" formatCode="#,##0.0"/>
    <numFmt numFmtId="166" formatCode="0.000"/>
    <numFmt numFmtId="167" formatCode="#,##0\ &quot;Kč&quot;"/>
    <numFmt numFmtId="168" formatCode="#,##0.00000"/>
    <numFmt numFmtId="169" formatCode="#,##0.000"/>
    <numFmt numFmtId="170" formatCode=";;;**"/>
  </numFmts>
  <fonts count="6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20"/>
      <color theme="1"/>
      <name val="Calibri"/>
      <family val="2"/>
      <charset val="238"/>
      <scheme val="minor"/>
    </font>
    <font>
      <b/>
      <sz val="11"/>
      <color theme="1"/>
      <name val="Calibri"/>
      <family val="2"/>
      <charset val="238"/>
      <scheme val="minor"/>
    </font>
    <font>
      <sz val="11"/>
      <color theme="0"/>
      <name val="Calibri"/>
      <family val="2"/>
      <charset val="238"/>
      <scheme val="minor"/>
    </font>
    <font>
      <b/>
      <sz val="12"/>
      <color theme="0"/>
      <name val="Calibri"/>
      <family val="2"/>
      <charset val="238"/>
      <scheme val="minor"/>
    </font>
    <font>
      <sz val="11"/>
      <name val="Calibri"/>
      <family val="2"/>
      <charset val="238"/>
      <scheme val="minor"/>
    </font>
    <font>
      <vertAlign val="superscript"/>
      <sz val="11"/>
      <name val="Calibri"/>
      <family val="2"/>
      <charset val="238"/>
      <scheme val="minor"/>
    </font>
    <font>
      <u/>
      <sz val="11"/>
      <color theme="10"/>
      <name val="Calibri"/>
      <family val="2"/>
      <charset val="238"/>
    </font>
    <font>
      <sz val="12"/>
      <name val="Calibri"/>
      <family val="2"/>
      <charset val="238"/>
      <scheme val="minor"/>
    </font>
    <font>
      <b/>
      <sz val="11"/>
      <name val="Calibri"/>
      <family val="2"/>
      <charset val="238"/>
      <scheme val="minor"/>
    </font>
    <font>
      <b/>
      <sz val="20"/>
      <name val="Calibri"/>
      <family val="2"/>
      <charset val="238"/>
      <scheme val="minor"/>
    </font>
    <font>
      <b/>
      <sz val="12"/>
      <name val="Calibri"/>
      <family val="2"/>
      <charset val="238"/>
      <scheme val="minor"/>
    </font>
    <font>
      <sz val="9"/>
      <color indexed="81"/>
      <name val="Tahoma"/>
      <family val="2"/>
      <charset val="238"/>
    </font>
    <font>
      <sz val="11"/>
      <color theme="1"/>
      <name val="Calibri"/>
      <family val="2"/>
      <scheme val="minor"/>
    </font>
    <font>
      <b/>
      <sz val="16"/>
      <name val="Calibri"/>
      <family val="2"/>
      <charset val="238"/>
      <scheme val="minor"/>
    </font>
    <font>
      <sz val="8"/>
      <name val="Calibri"/>
      <family val="2"/>
      <charset val="238"/>
      <scheme val="minor"/>
    </font>
    <font>
      <sz val="10"/>
      <name val="Calibri"/>
      <family val="2"/>
      <charset val="238"/>
      <scheme val="minor"/>
    </font>
    <font>
      <sz val="11"/>
      <color rgb="FFFF0000"/>
      <name val="Calibri"/>
      <family val="2"/>
      <charset val="238"/>
      <scheme val="minor"/>
    </font>
    <font>
      <b/>
      <i/>
      <sz val="11"/>
      <name val="Calibri"/>
      <family val="2"/>
      <charset val="238"/>
      <scheme val="minor"/>
    </font>
    <font>
      <sz val="10"/>
      <name val="Arial "/>
      <charset val="238"/>
    </font>
    <font>
      <i/>
      <sz val="10"/>
      <name val="Arial "/>
      <charset val="238"/>
    </font>
    <font>
      <b/>
      <sz val="9"/>
      <color indexed="81"/>
      <name val="Tahoma"/>
      <family val="2"/>
      <charset val="238"/>
    </font>
    <font>
      <sz val="10"/>
      <color indexed="8"/>
      <name val="Calibri"/>
      <family val="2"/>
      <charset val="238"/>
      <scheme val="minor"/>
    </font>
    <font>
      <sz val="10"/>
      <color theme="1"/>
      <name val="Calibri"/>
      <family val="2"/>
      <charset val="238"/>
      <scheme val="minor"/>
    </font>
    <font>
      <i/>
      <sz val="10"/>
      <color indexed="8"/>
      <name val="Calibri"/>
      <family val="2"/>
      <charset val="238"/>
      <scheme val="minor"/>
    </font>
    <font>
      <b/>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i/>
      <sz val="10"/>
      <color rgb="FFFF0000"/>
      <name val="Calibri"/>
      <family val="2"/>
      <charset val="238"/>
      <scheme val="minor"/>
    </font>
    <font>
      <i/>
      <sz val="9"/>
      <color theme="1"/>
      <name val="Arial"/>
      <family val="2"/>
      <charset val="238"/>
    </font>
    <font>
      <sz val="9"/>
      <color indexed="8"/>
      <name val="Arial"/>
      <family val="2"/>
      <charset val="238"/>
    </font>
    <font>
      <i/>
      <sz val="9"/>
      <color indexed="8"/>
      <name val="Arial"/>
      <family val="2"/>
      <charset val="238"/>
    </font>
    <font>
      <sz val="9"/>
      <color theme="1"/>
      <name val="Arial"/>
      <family val="2"/>
      <charset val="238"/>
    </font>
    <font>
      <sz val="9"/>
      <color rgb="FFFF0000"/>
      <name val="Arial"/>
      <family val="2"/>
      <charset val="238"/>
    </font>
    <font>
      <i/>
      <sz val="11"/>
      <color theme="1"/>
      <name val="Calibri"/>
      <family val="2"/>
      <charset val="238"/>
      <scheme val="minor"/>
    </font>
    <font>
      <b/>
      <sz val="11"/>
      <color rgb="FFFF0000"/>
      <name val="Calibri"/>
      <family val="2"/>
      <charset val="238"/>
      <scheme val="minor"/>
    </font>
    <font>
      <b/>
      <sz val="18"/>
      <name val="Calibri"/>
      <family val="2"/>
      <charset val="238"/>
      <scheme val="minor"/>
    </font>
    <font>
      <i/>
      <sz val="11"/>
      <color rgb="FFFF0000"/>
      <name val="Calibri"/>
      <family val="2"/>
      <charset val="238"/>
      <scheme val="minor"/>
    </font>
    <font>
      <sz val="12"/>
      <color theme="0"/>
      <name val="Calibri"/>
      <family val="2"/>
      <charset val="238"/>
      <scheme val="minor"/>
    </font>
    <font>
      <sz val="12"/>
      <color theme="1"/>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theme="0"/>
      <name val="Calibri"/>
      <family val="2"/>
      <charset val="238"/>
      <scheme val="minor"/>
    </font>
    <font>
      <b/>
      <sz val="9"/>
      <name val="Calibri"/>
      <family val="2"/>
      <charset val="238"/>
      <scheme val="minor"/>
    </font>
    <font>
      <sz val="9"/>
      <name val="Calibri"/>
      <family val="2"/>
      <charset val="238"/>
      <scheme val="minor"/>
    </font>
    <font>
      <b/>
      <vertAlign val="subscript"/>
      <sz val="11"/>
      <name val="Calibri"/>
      <family val="2"/>
      <charset val="238"/>
      <scheme val="minor"/>
    </font>
    <font>
      <sz val="8"/>
      <color theme="1"/>
      <name val="Calibri"/>
      <family val="2"/>
      <charset val="238"/>
      <scheme val="minor"/>
    </font>
    <font>
      <vertAlign val="subscript"/>
      <sz val="11"/>
      <name val="Calibri"/>
      <family val="2"/>
      <charset val="238"/>
      <scheme val="minor"/>
    </font>
    <font>
      <b/>
      <sz val="16"/>
      <color rgb="FFC00000"/>
      <name val="Calibri"/>
      <family val="2"/>
      <charset val="238"/>
      <scheme val="minor"/>
    </font>
    <font>
      <u/>
      <sz val="12"/>
      <name val="Calibri"/>
      <family val="2"/>
      <charset val="238"/>
      <scheme val="minor"/>
    </font>
    <font>
      <b/>
      <vertAlign val="subscript"/>
      <sz val="12"/>
      <color theme="0"/>
      <name val="Calibri"/>
      <family val="2"/>
      <charset val="238"/>
      <scheme val="minor"/>
    </font>
    <font>
      <b/>
      <sz val="9"/>
      <color theme="1"/>
      <name val="Times New Roman"/>
      <family val="1"/>
      <charset val="238"/>
    </font>
    <font>
      <i/>
      <sz val="11"/>
      <name val="Calibri"/>
      <family val="2"/>
      <charset val="238"/>
      <scheme val="minor"/>
    </font>
    <font>
      <i/>
      <sz val="11"/>
      <color rgb="FF0070C0"/>
      <name val="Calibri"/>
      <family val="2"/>
      <charset val="238"/>
      <scheme val="minor"/>
    </font>
    <font>
      <b/>
      <sz val="14"/>
      <color theme="0"/>
      <name val="Calibri"/>
      <family val="2"/>
      <charset val="238"/>
      <scheme val="minor"/>
    </font>
    <font>
      <b/>
      <sz val="20"/>
      <color theme="1"/>
      <name val="Calibri"/>
      <family val="2"/>
      <scheme val="minor"/>
    </font>
    <font>
      <b/>
      <sz val="11"/>
      <color theme="1"/>
      <name val="Calibri"/>
      <family val="2"/>
      <scheme val="minor"/>
    </font>
    <font>
      <i/>
      <sz val="11"/>
      <color rgb="FF0070C0"/>
      <name val="Calibri"/>
      <family val="2"/>
      <scheme val="minor"/>
    </font>
    <font>
      <sz val="8"/>
      <color rgb="FF000000"/>
      <name val="Tahoma"/>
      <family val="2"/>
      <charset val="238"/>
    </font>
    <font>
      <b/>
      <sz val="16"/>
      <color rgb="FF000000"/>
      <name val="Calibri"/>
      <family val="2"/>
      <charset val="238"/>
    </font>
    <font>
      <b/>
      <sz val="11"/>
      <color rgb="FF000000"/>
      <name val="Calibri"/>
      <family val="2"/>
      <charset val="238"/>
    </font>
    <font>
      <sz val="11"/>
      <color rgb="FF000000"/>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9" tint="0.59999389629810485"/>
        <bgColor indexed="64"/>
      </patternFill>
    </fill>
    <fill>
      <patternFill patternType="solid">
        <fgColor rgb="FFC0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2D050"/>
        <bgColor indexed="64"/>
      </patternFill>
    </fill>
    <fill>
      <patternFill patternType="solid">
        <fgColor theme="1" tint="0.249977111117893"/>
        <bgColor indexed="64"/>
      </patternFill>
    </fill>
    <fill>
      <patternFill patternType="solid">
        <fgColor rgb="FFFF474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7E6E6"/>
        <bgColor indexed="64"/>
      </patternFill>
    </fill>
    <fill>
      <patternFill patternType="solid">
        <fgColor rgb="FFC6E0B4"/>
        <bgColor indexed="64"/>
      </patternFill>
    </fill>
  </fills>
  <borders count="66">
    <border>
      <left/>
      <right/>
      <top/>
      <bottom/>
      <diagonal/>
    </border>
    <border>
      <left style="medium">
        <color theme="0"/>
      </left>
      <right style="medium">
        <color theme="0"/>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top style="thin">
        <color theme="0"/>
      </top>
      <bottom style="medium">
        <color theme="0"/>
      </bottom>
      <diagonal/>
    </border>
    <border>
      <left style="medium">
        <color theme="0"/>
      </left>
      <right style="medium">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medium">
        <color theme="0"/>
      </left>
      <right/>
      <top style="medium">
        <color theme="0"/>
      </top>
      <bottom/>
      <diagonal/>
    </border>
    <border>
      <left/>
      <right/>
      <top style="thin">
        <color theme="0"/>
      </top>
      <bottom style="thin">
        <color theme="0"/>
      </bottom>
      <diagonal/>
    </border>
    <border>
      <left/>
      <right style="medium">
        <color theme="0"/>
      </right>
      <top/>
      <bottom style="medium">
        <color theme="0"/>
      </bottom>
      <diagonal/>
    </border>
    <border>
      <left style="medium">
        <color theme="0"/>
      </left>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indexed="64"/>
      </left>
      <right/>
      <top style="thin">
        <color indexed="64"/>
      </top>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8"/>
      </top>
      <bottom/>
      <diagonal/>
    </border>
    <border>
      <left style="thin">
        <color auto="1"/>
      </left>
      <right style="thin">
        <color auto="1"/>
      </right>
      <top style="thin">
        <color auto="1"/>
      </top>
      <bottom style="thin">
        <color auto="1"/>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indexed="8"/>
      </right>
      <top style="thin">
        <color auto="1"/>
      </top>
      <bottom/>
      <diagonal/>
    </border>
    <border>
      <left style="thin">
        <color indexed="64"/>
      </left>
      <right style="thin">
        <color indexed="64"/>
      </right>
      <top style="thin">
        <color indexed="64"/>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medium">
        <color theme="0"/>
      </right>
      <top style="medium">
        <color theme="0"/>
      </top>
      <bottom/>
      <diagonal/>
    </border>
    <border>
      <left/>
      <right style="medium">
        <color theme="0"/>
      </right>
      <top/>
      <bottom/>
      <diagonal/>
    </border>
    <border>
      <left/>
      <right/>
      <top style="medium">
        <color theme="0"/>
      </top>
      <bottom/>
      <diagonal/>
    </border>
    <border>
      <left/>
      <right style="thin">
        <color indexed="64"/>
      </right>
      <top style="thin">
        <color indexed="64"/>
      </top>
      <bottom style="thin">
        <color indexed="64"/>
      </bottom>
      <diagonal/>
    </border>
    <border>
      <left style="medium">
        <color theme="0"/>
      </left>
      <right style="medium">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right style="thin">
        <color theme="0"/>
      </right>
      <top style="thin">
        <color theme="0"/>
      </top>
      <bottom/>
      <diagonal/>
    </border>
    <border>
      <left style="thin">
        <color theme="0"/>
      </left>
      <right/>
      <top style="medium">
        <color theme="0"/>
      </top>
      <bottom/>
      <diagonal/>
    </border>
    <border>
      <left/>
      <right style="thin">
        <color theme="0"/>
      </right>
      <top style="medium">
        <color theme="0"/>
      </top>
      <bottom/>
      <diagonal/>
    </border>
    <border>
      <left style="medium">
        <color theme="0"/>
      </left>
      <right/>
      <top/>
      <bottom/>
      <diagonal/>
    </border>
    <border>
      <left style="thin">
        <color indexed="64"/>
      </left>
      <right/>
      <top/>
      <bottom/>
      <diagonal/>
    </border>
    <border>
      <left style="thin">
        <color indexed="64"/>
      </left>
      <right/>
      <top/>
      <bottom style="thin">
        <color auto="1"/>
      </bottom>
      <diagonal/>
    </border>
    <border>
      <left style="medium">
        <color theme="0"/>
      </left>
      <right style="medium">
        <color theme="0"/>
      </right>
      <top style="thin">
        <color indexed="64"/>
      </top>
      <bottom/>
      <diagonal/>
    </border>
    <border>
      <left/>
      <right/>
      <top style="thin">
        <color indexed="64"/>
      </top>
      <bottom style="medium">
        <color theme="0"/>
      </bottom>
      <diagonal/>
    </border>
    <border>
      <left/>
      <right style="thin">
        <color theme="0"/>
      </right>
      <top/>
      <bottom/>
      <diagonal/>
    </border>
  </borders>
  <cellStyleXfs count="5">
    <xf numFmtId="0" fontId="0" fillId="0" borderId="0"/>
    <xf numFmtId="9" fontId="1" fillId="0" borderId="0" applyFont="0" applyFill="0" applyBorder="0" applyAlignment="0" applyProtection="0"/>
    <xf numFmtId="0" fontId="9" fillId="0" borderId="0" applyNumberFormat="0" applyFont="0" applyFill="0" applyBorder="0" applyAlignment="0" applyProtection="0">
      <alignment vertical="top"/>
      <protection locked="0"/>
    </xf>
    <xf numFmtId="0" fontId="15" fillId="0" borderId="0"/>
    <xf numFmtId="44" fontId="1" fillId="0" borderId="0" applyFont="0" applyFill="0" applyBorder="0" applyAlignment="0" applyProtection="0"/>
  </cellStyleXfs>
  <cellXfs count="723">
    <xf numFmtId="0" fontId="0" fillId="0" borderId="0" xfId="0"/>
    <xf numFmtId="0" fontId="4" fillId="0" borderId="0" xfId="0" applyFont="1"/>
    <xf numFmtId="0" fontId="9" fillId="0" borderId="0" xfId="2" applyAlignment="1" applyProtection="1"/>
    <xf numFmtId="0" fontId="5" fillId="2" borderId="0" xfId="0" applyFont="1" applyFill="1" applyProtection="1">
      <protection hidden="1"/>
    </xf>
    <xf numFmtId="0" fontId="0" fillId="2" borderId="0" xfId="0" applyFill="1"/>
    <xf numFmtId="0" fontId="0" fillId="2" borderId="0" xfId="0" applyFill="1" applyProtection="1">
      <protection hidden="1"/>
    </xf>
    <xf numFmtId="0" fontId="5" fillId="0" borderId="10" xfId="0" applyFont="1" applyBorder="1" applyProtection="1">
      <protection hidden="1"/>
    </xf>
    <xf numFmtId="0" fontId="9" fillId="2" borderId="0" xfId="2" applyFill="1" applyAlignment="1" applyProtection="1"/>
    <xf numFmtId="49" fontId="6" fillId="3" borderId="5" xfId="0" applyNumberFormat="1" applyFont="1" applyFill="1" applyBorder="1" applyAlignment="1" applyProtection="1">
      <alignment vertical="center" wrapText="1"/>
      <protection hidden="1"/>
    </xf>
    <xf numFmtId="1" fontId="6" fillId="3" borderId="6" xfId="0" applyNumberFormat="1" applyFont="1" applyFill="1" applyBorder="1" applyAlignment="1" applyProtection="1">
      <alignment vertical="center"/>
      <protection hidden="1"/>
    </xf>
    <xf numFmtId="0" fontId="0" fillId="6" borderId="14" xfId="0" applyFill="1" applyBorder="1" applyAlignment="1" applyProtection="1">
      <alignment horizontal="center" vertical="center" wrapText="1"/>
      <protection locked="0" hidden="1"/>
    </xf>
    <xf numFmtId="0" fontId="0" fillId="6" borderId="10" xfId="0" applyFill="1" applyBorder="1" applyAlignment="1" applyProtection="1">
      <alignment horizontal="center" vertical="center" wrapText="1"/>
      <protection locked="0" hidden="1"/>
    </xf>
    <xf numFmtId="3" fontId="0" fillId="6" borderId="10" xfId="0" applyNumberFormat="1" applyFont="1" applyFill="1" applyBorder="1" applyAlignment="1" applyProtection="1">
      <alignment horizontal="center" vertical="center" wrapText="1"/>
      <protection locked="0" hidden="1"/>
    </xf>
    <xf numFmtId="0" fontId="0" fillId="6" borderId="10" xfId="0" applyFont="1" applyFill="1" applyBorder="1" applyAlignment="1" applyProtection="1">
      <alignment horizontal="center" vertical="center" wrapText="1"/>
      <protection locked="0" hidden="1"/>
    </xf>
    <xf numFmtId="9" fontId="0" fillId="6" borderId="10" xfId="1" applyFont="1" applyFill="1" applyBorder="1" applyAlignment="1" applyProtection="1">
      <alignment horizontal="center" vertical="center" wrapText="1"/>
      <protection locked="0" hidden="1"/>
    </xf>
    <xf numFmtId="0" fontId="0" fillId="6" borderId="3" xfId="0" applyFill="1" applyBorder="1" applyAlignment="1" applyProtection="1">
      <alignment horizontal="center" vertical="center" wrapText="1"/>
      <protection locked="0" hidden="1"/>
    </xf>
    <xf numFmtId="3" fontId="7" fillId="6" borderId="3" xfId="0" applyNumberFormat="1" applyFont="1" applyFill="1" applyBorder="1" applyAlignment="1" applyProtection="1">
      <alignment horizontal="center" vertical="center" wrapText="1"/>
      <protection locked="0" hidden="1"/>
    </xf>
    <xf numFmtId="0" fontId="7" fillId="6" borderId="3" xfId="0" applyFont="1" applyFill="1" applyBorder="1" applyAlignment="1" applyProtection="1">
      <alignment horizontal="center" vertical="center" wrapText="1"/>
      <protection locked="0" hidden="1"/>
    </xf>
    <xf numFmtId="0" fontId="5" fillId="0" borderId="14" xfId="0" applyFont="1" applyBorder="1" applyProtection="1">
      <protection hidden="1"/>
    </xf>
    <xf numFmtId="2" fontId="5" fillId="2" borderId="0" xfId="0" applyNumberFormat="1" applyFont="1" applyFill="1" applyProtection="1">
      <protection hidden="1"/>
    </xf>
    <xf numFmtId="0" fontId="7" fillId="2" borderId="0" xfId="0" applyFont="1" applyFill="1" applyBorder="1" applyProtection="1">
      <protection locked="0" hidden="1"/>
    </xf>
    <xf numFmtId="3" fontId="7" fillId="2" borderId="0" xfId="0" applyNumberFormat="1" applyFont="1" applyFill="1" applyBorder="1" applyProtection="1">
      <protection locked="0" hidden="1"/>
    </xf>
    <xf numFmtId="9" fontId="7" fillId="2" borderId="0" xfId="1" applyFont="1" applyFill="1" applyBorder="1" applyProtection="1">
      <protection locked="0" hidden="1"/>
    </xf>
    <xf numFmtId="0" fontId="7" fillId="2" borderId="0" xfId="0" applyFont="1" applyFill="1" applyBorder="1" applyAlignment="1" applyProtection="1">
      <alignment horizontal="left" wrapText="1"/>
      <protection locked="0" hidden="1"/>
    </xf>
    <xf numFmtId="0" fontId="20" fillId="2" borderId="0" xfId="0" applyFont="1" applyFill="1" applyBorder="1" applyProtection="1">
      <protection locked="0" hidden="1"/>
    </xf>
    <xf numFmtId="0" fontId="18" fillId="2" borderId="0" xfId="0" applyFont="1" applyFill="1" applyBorder="1" applyAlignment="1" applyProtection="1">
      <alignment horizontal="center"/>
      <protection locked="0" hidden="1"/>
    </xf>
    <xf numFmtId="0" fontId="18" fillId="2" borderId="0" xfId="0" quotePrefix="1" applyFont="1" applyFill="1" applyBorder="1" applyAlignment="1" applyProtection="1">
      <alignment horizontal="center"/>
      <protection locked="0" hidden="1"/>
    </xf>
    <xf numFmtId="49" fontId="7" fillId="2" borderId="0" xfId="0" quotePrefix="1" applyNumberFormat="1" applyFont="1" applyFill="1" applyBorder="1" applyProtection="1">
      <protection locked="0" hidden="1"/>
    </xf>
    <xf numFmtId="166" fontId="7" fillId="2" borderId="0" xfId="0" applyNumberFormat="1" applyFont="1" applyFill="1" applyBorder="1" applyProtection="1">
      <protection locked="0" hidden="1"/>
    </xf>
    <xf numFmtId="2" fontId="7" fillId="2" borderId="0" xfId="0" applyNumberFormat="1" applyFont="1" applyFill="1" applyBorder="1" applyProtection="1">
      <protection locked="0" hidden="1"/>
    </xf>
    <xf numFmtId="0" fontId="7" fillId="2" borderId="0" xfId="0" applyFont="1" applyFill="1" applyBorder="1" applyAlignment="1" applyProtection="1">
      <alignment horizontal="left" indent="1"/>
      <protection locked="0" hidden="1"/>
    </xf>
    <xf numFmtId="0" fontId="11" fillId="2" borderId="0" xfId="0" applyFont="1" applyFill="1" applyBorder="1" applyProtection="1">
      <protection locked="0" hidden="1"/>
    </xf>
    <xf numFmtId="0" fontId="7" fillId="2" borderId="0" xfId="0" applyFont="1" applyFill="1" applyBorder="1" applyAlignment="1" applyProtection="1">
      <alignment horizontal="left"/>
      <protection locked="0" hidden="1"/>
    </xf>
    <xf numFmtId="164" fontId="7" fillId="2" borderId="0" xfId="0" applyNumberFormat="1" applyFont="1" applyFill="1" applyBorder="1" applyProtection="1">
      <protection locked="0" hidden="1"/>
    </xf>
    <xf numFmtId="0" fontId="21" fillId="2" borderId="0" xfId="0" applyFont="1" applyFill="1" applyBorder="1" applyAlignment="1" applyProtection="1">
      <alignment horizontal="left" vertical="center" wrapText="1"/>
      <protection locked="0" hidden="1"/>
    </xf>
    <xf numFmtId="0" fontId="21" fillId="2" borderId="0" xfId="0" applyFont="1" applyFill="1" applyBorder="1" applyProtection="1">
      <protection locked="0" hidden="1"/>
    </xf>
    <xf numFmtId="3" fontId="21" fillId="2" borderId="0" xfId="0" applyNumberFormat="1" applyFont="1" applyFill="1" applyBorder="1" applyAlignment="1" applyProtection="1">
      <alignment horizontal="center" vertical="center" wrapText="1"/>
      <protection locked="0" hidden="1"/>
    </xf>
    <xf numFmtId="0" fontId="22" fillId="2" borderId="0" xfId="0" applyFont="1" applyFill="1" applyBorder="1" applyProtection="1">
      <protection locked="0" hidden="1"/>
    </xf>
    <xf numFmtId="0" fontId="21" fillId="2" borderId="0" xfId="0" applyFont="1" applyFill="1" applyBorder="1" applyAlignment="1" applyProtection="1">
      <alignment horizontal="center" vertical="center" wrapText="1"/>
      <protection locked="0" hidden="1"/>
    </xf>
    <xf numFmtId="1" fontId="21" fillId="2" borderId="0" xfId="0" applyNumberFormat="1" applyFont="1" applyFill="1" applyBorder="1" applyAlignment="1" applyProtection="1">
      <alignment horizontal="center" vertical="center" wrapText="1"/>
      <protection locked="0" hidden="1"/>
    </xf>
    <xf numFmtId="0" fontId="21" fillId="2" borderId="0" xfId="0" applyFont="1" applyFill="1" applyBorder="1" applyAlignment="1" applyProtection="1">
      <alignment horizontal="left"/>
      <protection locked="0" hidden="1"/>
    </xf>
    <xf numFmtId="0" fontId="21" fillId="2" borderId="0" xfId="0" applyNumberFormat="1" applyFont="1" applyFill="1" applyBorder="1" applyAlignment="1" applyProtection="1">
      <alignment horizontal="center" vertical="center"/>
      <protection locked="0" hidden="1"/>
    </xf>
    <xf numFmtId="0" fontId="21" fillId="2" borderId="0" xfId="0" applyNumberFormat="1" applyFont="1" applyFill="1" applyBorder="1" applyAlignment="1" applyProtection="1">
      <alignment horizontal="left" vertical="center"/>
      <protection locked="0" hidden="1"/>
    </xf>
    <xf numFmtId="9" fontId="21" fillId="2" borderId="0" xfId="0" applyNumberFormat="1" applyFont="1" applyFill="1" applyBorder="1" applyAlignment="1" applyProtection="1">
      <alignment horizontal="center" vertical="center"/>
      <protection locked="0" hidden="1"/>
    </xf>
    <xf numFmtId="10" fontId="21" fillId="2" borderId="0" xfId="0" applyNumberFormat="1" applyFont="1" applyFill="1" applyBorder="1" applyAlignment="1" applyProtection="1">
      <alignment horizontal="center" vertical="center"/>
      <protection locked="0" hidden="1"/>
    </xf>
    <xf numFmtId="164" fontId="21" fillId="2" borderId="0" xfId="0" applyNumberFormat="1" applyFont="1" applyFill="1" applyBorder="1" applyAlignment="1" applyProtection="1">
      <alignment horizontal="center" vertical="center"/>
      <protection locked="0" hidden="1"/>
    </xf>
    <xf numFmtId="0" fontId="21" fillId="2" borderId="0" xfId="0" applyFont="1" applyFill="1" applyBorder="1" applyAlignment="1" applyProtection="1">
      <alignment horizontal="center"/>
      <protection locked="0" hidden="1"/>
    </xf>
    <xf numFmtId="2" fontId="21" fillId="2" borderId="0" xfId="0" applyNumberFormat="1" applyFont="1" applyFill="1" applyBorder="1" applyAlignment="1" applyProtection="1">
      <alignment horizontal="center" vertical="center"/>
      <protection locked="0" hidden="1"/>
    </xf>
    <xf numFmtId="9" fontId="21" fillId="2" borderId="0" xfId="0" applyNumberFormat="1" applyFont="1" applyFill="1" applyBorder="1" applyAlignment="1" applyProtection="1">
      <protection locked="0" hidden="1"/>
    </xf>
    <xf numFmtId="0" fontId="21" fillId="2" borderId="0" xfId="0" applyFont="1" applyFill="1" applyBorder="1" applyAlignment="1" applyProtection="1">
      <alignment horizontal="center" vertical="center"/>
      <protection locked="0" hidden="1"/>
    </xf>
    <xf numFmtId="9" fontId="21" fillId="2" borderId="0" xfId="0" applyNumberFormat="1" applyFont="1" applyFill="1" applyBorder="1" applyAlignment="1" applyProtection="1">
      <alignment horizontal="center" vertical="center" wrapText="1"/>
      <protection locked="0" hidden="1"/>
    </xf>
    <xf numFmtId="16" fontId="11" fillId="2" borderId="0" xfId="0" applyNumberFormat="1" applyFont="1" applyFill="1" applyBorder="1" applyAlignment="1" applyProtection="1">
      <alignment vertical="top" wrapText="1"/>
      <protection hidden="1"/>
    </xf>
    <xf numFmtId="0" fontId="7" fillId="2" borderId="12" xfId="0" applyFont="1" applyFill="1" applyBorder="1" applyAlignment="1" applyProtection="1">
      <alignment horizontal="left" vertical="center" wrapText="1"/>
      <protection hidden="1"/>
    </xf>
    <xf numFmtId="3" fontId="7" fillId="2" borderId="10" xfId="0" applyNumberFormat="1" applyFont="1" applyFill="1" applyBorder="1" applyAlignment="1" applyProtection="1">
      <alignment horizontal="center" vertical="center" wrapText="1"/>
      <protection hidden="1"/>
    </xf>
    <xf numFmtId="0" fontId="7" fillId="2" borderId="10" xfId="0" applyFont="1" applyFill="1" applyBorder="1" applyAlignment="1" applyProtection="1">
      <alignment horizontal="left" vertical="center" wrapText="1"/>
      <protection hidden="1"/>
    </xf>
    <xf numFmtId="9" fontId="7" fillId="2" borderId="10" xfId="1" applyFont="1" applyFill="1" applyBorder="1" applyAlignment="1" applyProtection="1">
      <alignment horizontal="center" vertical="center" wrapText="1"/>
      <protection hidden="1"/>
    </xf>
    <xf numFmtId="0" fontId="7" fillId="2" borderId="12" xfId="0" applyFont="1" applyFill="1" applyBorder="1" applyAlignment="1" applyProtection="1">
      <alignment horizontal="left" vertical="center" wrapText="1" indent="1"/>
      <protection hidden="1"/>
    </xf>
    <xf numFmtId="164" fontId="7" fillId="2" borderId="10" xfId="1" applyNumberFormat="1" applyFont="1" applyFill="1" applyBorder="1" applyAlignment="1" applyProtection="1">
      <alignment horizontal="center" vertical="center" wrapText="1"/>
      <protection hidden="1"/>
    </xf>
    <xf numFmtId="0" fontId="7" fillId="2" borderId="12" xfId="0" applyFont="1" applyFill="1" applyBorder="1" applyAlignment="1" applyProtection="1">
      <alignment horizontal="left" vertical="center" wrapText="1" indent="2"/>
      <protection hidden="1"/>
    </xf>
    <xf numFmtId="166" fontId="7" fillId="8" borderId="0" xfId="0" applyNumberFormat="1" applyFont="1" applyFill="1" applyBorder="1" applyProtection="1">
      <protection locked="0" hidden="1"/>
    </xf>
    <xf numFmtId="9" fontId="0" fillId="6" borderId="5" xfId="0" applyNumberFormat="1" applyFont="1" applyFill="1" applyBorder="1" applyAlignment="1" applyProtection="1">
      <alignment horizontal="left" vertical="center" wrapText="1"/>
      <protection locked="0" hidden="1"/>
    </xf>
    <xf numFmtId="0" fontId="0" fillId="6" borderId="5" xfId="0" applyFont="1" applyFill="1" applyBorder="1" applyAlignment="1" applyProtection="1">
      <alignment horizontal="left" vertical="center" wrapText="1"/>
      <protection locked="0" hidden="1"/>
    </xf>
    <xf numFmtId="0" fontId="0" fillId="6" borderId="5" xfId="0" applyFill="1" applyBorder="1" applyAlignment="1" applyProtection="1">
      <alignment horizontal="left" vertical="center" wrapText="1"/>
      <protection locked="0" hidden="1"/>
    </xf>
    <xf numFmtId="3" fontId="0" fillId="6" borderId="5" xfId="0" applyNumberFormat="1" applyFont="1" applyFill="1" applyBorder="1" applyAlignment="1" applyProtection="1">
      <alignment horizontal="left" vertical="center" wrapText="1"/>
      <protection locked="0" hidden="1"/>
    </xf>
    <xf numFmtId="0" fontId="0" fillId="6" borderId="19" xfId="0" applyFill="1" applyBorder="1" applyAlignment="1" applyProtection="1">
      <alignment horizontal="left" vertical="center" wrapText="1"/>
      <protection locked="0" hidden="1"/>
    </xf>
    <xf numFmtId="0" fontId="24" fillId="9" borderId="20" xfId="0" applyFont="1" applyFill="1" applyBorder="1" applyAlignment="1">
      <alignment horizontal="center" vertical="center" wrapText="1"/>
    </xf>
    <xf numFmtId="0" fontId="26" fillId="10" borderId="22" xfId="0" applyFont="1" applyFill="1" applyBorder="1" applyAlignment="1">
      <alignment vertical="center"/>
    </xf>
    <xf numFmtId="0" fontId="24" fillId="8" borderId="20" xfId="0" applyFont="1" applyFill="1" applyBorder="1" applyAlignment="1">
      <alignment horizontal="center" vertical="center"/>
    </xf>
    <xf numFmtId="0" fontId="24" fillId="9" borderId="0" xfId="0" applyFont="1" applyFill="1" applyBorder="1" applyAlignment="1">
      <alignment horizontal="center" vertical="center" wrapText="1"/>
    </xf>
    <xf numFmtId="0" fontId="27" fillId="10" borderId="29" xfId="0" applyFont="1" applyFill="1" applyBorder="1"/>
    <xf numFmtId="0" fontId="24" fillId="10" borderId="30" xfId="0" applyFont="1" applyFill="1" applyBorder="1" applyAlignment="1">
      <alignment vertical="center" wrapText="1"/>
    </xf>
    <xf numFmtId="0" fontId="28" fillId="10" borderId="30" xfId="0" applyFont="1" applyFill="1" applyBorder="1"/>
    <xf numFmtId="0" fontId="28" fillId="10" borderId="31" xfId="0" applyFont="1" applyFill="1" applyBorder="1"/>
    <xf numFmtId="0" fontId="28" fillId="10" borderId="32" xfId="0" applyFont="1" applyFill="1" applyBorder="1"/>
    <xf numFmtId="0" fontId="29" fillId="2" borderId="0" xfId="0" applyFont="1" applyFill="1" applyBorder="1" applyAlignment="1" applyProtection="1">
      <alignment horizontal="center"/>
      <protection hidden="1"/>
    </xf>
    <xf numFmtId="0" fontId="31" fillId="10" borderId="30" xfId="0" applyFont="1" applyFill="1" applyBorder="1"/>
    <xf numFmtId="0" fontId="31" fillId="10" borderId="31" xfId="0" applyFont="1" applyFill="1" applyBorder="1"/>
    <xf numFmtId="0" fontId="31" fillId="10" borderId="32" xfId="0" applyFont="1" applyFill="1" applyBorder="1"/>
    <xf numFmtId="0" fontId="25" fillId="0" borderId="0" xfId="0" applyFont="1"/>
    <xf numFmtId="0" fontId="25" fillId="9" borderId="30" xfId="0" applyFont="1" applyFill="1" applyBorder="1" applyAlignment="1">
      <alignment horizontal="center"/>
    </xf>
    <xf numFmtId="44" fontId="24" fillId="9" borderId="30" xfId="0" applyNumberFormat="1" applyFont="1" applyFill="1" applyBorder="1" applyAlignment="1">
      <alignment horizontal="center" vertical="center" wrapText="1"/>
    </xf>
    <xf numFmtId="2" fontId="24" fillId="8" borderId="20" xfId="0" applyNumberFormat="1" applyFont="1" applyFill="1" applyBorder="1" applyAlignment="1">
      <alignment horizontal="center" vertical="center"/>
    </xf>
    <xf numFmtId="0" fontId="32" fillId="9" borderId="20" xfId="0" applyFont="1" applyFill="1" applyBorder="1" applyAlignment="1">
      <alignment horizontal="center" vertical="center" wrapText="1"/>
    </xf>
    <xf numFmtId="0" fontId="32" fillId="9" borderId="21" xfId="0" applyFont="1" applyFill="1" applyBorder="1" applyAlignment="1">
      <alignment vertical="center"/>
    </xf>
    <xf numFmtId="0" fontId="33" fillId="10" borderId="22" xfId="0" applyFont="1" applyFill="1" applyBorder="1" applyAlignment="1">
      <alignment vertical="center"/>
    </xf>
    <xf numFmtId="44" fontId="32" fillId="9" borderId="30" xfId="0" applyNumberFormat="1" applyFont="1" applyFill="1" applyBorder="1" applyAlignment="1">
      <alignment horizontal="center" vertical="center" wrapText="1"/>
    </xf>
    <xf numFmtId="0" fontId="32" fillId="8" borderId="20" xfId="0" applyFont="1" applyFill="1" applyBorder="1" applyAlignment="1">
      <alignment horizontal="center" vertical="center"/>
    </xf>
    <xf numFmtId="164" fontId="32" fillId="8" borderId="20" xfId="0" applyNumberFormat="1" applyFont="1" applyFill="1" applyBorder="1" applyAlignment="1">
      <alignment horizontal="center" vertical="center"/>
    </xf>
    <xf numFmtId="2" fontId="32" fillId="8" borderId="20" xfId="0" applyNumberFormat="1" applyFont="1" applyFill="1" applyBorder="1" applyAlignment="1">
      <alignment horizontal="center" vertical="center"/>
    </xf>
    <xf numFmtId="0" fontId="32" fillId="9" borderId="30" xfId="0" applyFont="1" applyFill="1" applyBorder="1" applyAlignment="1">
      <alignment horizontal="center" vertical="center" wrapText="1"/>
    </xf>
    <xf numFmtId="0" fontId="32" fillId="9" borderId="30" xfId="0" applyFont="1" applyFill="1" applyBorder="1" applyAlignment="1">
      <alignment horizontal="center" vertical="center"/>
    </xf>
    <xf numFmtId="0" fontId="34" fillId="9" borderId="33" xfId="0" applyFont="1" applyFill="1" applyBorder="1" applyAlignment="1"/>
    <xf numFmtId="0" fontId="33" fillId="10" borderId="34" xfId="0" applyFont="1" applyFill="1" applyBorder="1" applyAlignment="1">
      <alignment vertical="center"/>
    </xf>
    <xf numFmtId="0" fontId="32" fillId="8" borderId="35" xfId="0" applyFont="1" applyFill="1" applyBorder="1" applyAlignment="1">
      <alignment horizontal="center" vertical="center" wrapText="1"/>
    </xf>
    <xf numFmtId="0" fontId="32" fillId="9" borderId="36" xfId="0" applyFont="1" applyFill="1" applyBorder="1" applyAlignment="1">
      <alignment horizontal="center" vertical="center"/>
    </xf>
    <xf numFmtId="0" fontId="32" fillId="9" borderId="37" xfId="0" applyFont="1" applyFill="1" applyBorder="1" applyAlignment="1">
      <alignment horizontal="center" vertical="center"/>
    </xf>
    <xf numFmtId="0" fontId="32" fillId="9" borderId="38" xfId="0" applyFont="1" applyFill="1" applyBorder="1" applyAlignment="1">
      <alignment horizontal="center" vertical="center" wrapText="1"/>
    </xf>
    <xf numFmtId="0" fontId="32" fillId="9" borderId="33" xfId="0" applyFont="1" applyFill="1" applyBorder="1" applyAlignment="1">
      <alignment vertical="center"/>
    </xf>
    <xf numFmtId="0" fontId="32" fillId="9" borderId="39" xfId="0" applyFont="1" applyFill="1" applyBorder="1" applyAlignment="1">
      <alignment vertical="center"/>
    </xf>
    <xf numFmtId="0" fontId="35" fillId="8" borderId="35" xfId="0" applyFont="1" applyFill="1" applyBorder="1" applyAlignment="1">
      <alignment horizontal="center" vertical="center" wrapText="1"/>
    </xf>
    <xf numFmtId="0" fontId="35" fillId="8" borderId="40" xfId="0" applyFont="1" applyFill="1" applyBorder="1" applyAlignment="1">
      <alignment horizontal="center" vertical="center" wrapText="1"/>
    </xf>
    <xf numFmtId="0" fontId="34" fillId="9" borderId="41" xfId="0" applyFont="1" applyFill="1" applyBorder="1" applyAlignment="1"/>
    <xf numFmtId="0" fontId="32" fillId="8" borderId="42" xfId="0" applyFont="1" applyFill="1" applyBorder="1" applyAlignment="1">
      <alignment horizontal="center" vertical="center" wrapText="1"/>
    </xf>
    <xf numFmtId="0" fontId="34" fillId="9" borderId="43" xfId="0" applyFont="1" applyFill="1" applyBorder="1" applyAlignment="1"/>
    <xf numFmtId="0" fontId="33" fillId="10" borderId="44" xfId="0" applyFont="1" applyFill="1" applyBorder="1" applyAlignment="1">
      <alignment vertical="center"/>
    </xf>
    <xf numFmtId="0" fontId="32" fillId="8" borderId="45" xfId="0" applyFont="1" applyFill="1" applyBorder="1" applyAlignment="1">
      <alignment horizontal="center" vertical="center" wrapText="1"/>
    </xf>
    <xf numFmtId="0" fontId="36" fillId="4" borderId="0" xfId="0" applyFont="1" applyFill="1"/>
    <xf numFmtId="0" fontId="30" fillId="4" borderId="0" xfId="0" applyFont="1" applyFill="1" applyBorder="1" applyAlignment="1" applyProtection="1">
      <alignment horizontal="center"/>
      <protection hidden="1"/>
    </xf>
    <xf numFmtId="0" fontId="0" fillId="4" borderId="0" xfId="0" applyFill="1"/>
    <xf numFmtId="0" fontId="31" fillId="10" borderId="46" xfId="0" applyFont="1" applyFill="1" applyBorder="1"/>
    <xf numFmtId="0" fontId="28" fillId="10" borderId="46" xfId="0" applyFont="1" applyFill="1" applyBorder="1"/>
    <xf numFmtId="1" fontId="0" fillId="6" borderId="5" xfId="0" applyNumberFormat="1" applyFont="1" applyFill="1" applyBorder="1" applyAlignment="1" applyProtection="1">
      <alignment horizontal="left" vertical="center" wrapText="1"/>
      <protection locked="0" hidden="1"/>
    </xf>
    <xf numFmtId="0" fontId="7" fillId="2" borderId="0" xfId="0" applyFont="1" applyFill="1" applyBorder="1" applyAlignment="1" applyProtection="1">
      <alignment horizontal="right"/>
      <protection locked="0" hidden="1"/>
    </xf>
    <xf numFmtId="0" fontId="21" fillId="2" borderId="0" xfId="0" applyFont="1" applyFill="1" applyBorder="1" applyAlignment="1" applyProtection="1">
      <alignment horizontal="right" vertical="center" wrapText="1"/>
      <protection locked="0" hidden="1"/>
    </xf>
    <xf numFmtId="2" fontId="21" fillId="2" borderId="0" xfId="0" applyNumberFormat="1" applyFont="1" applyFill="1" applyBorder="1" applyProtection="1">
      <protection locked="0" hidden="1"/>
    </xf>
    <xf numFmtId="1" fontId="21" fillId="2" borderId="0" xfId="0" applyNumberFormat="1" applyFont="1" applyFill="1" applyBorder="1" applyAlignment="1" applyProtection="1">
      <alignment horizontal="center" vertical="center"/>
      <protection locked="0" hidden="1"/>
    </xf>
    <xf numFmtId="2" fontId="0" fillId="4" borderId="5" xfId="0" applyNumberFormat="1" applyFont="1" applyFill="1" applyBorder="1" applyAlignment="1" applyProtection="1">
      <alignment horizontal="left" vertical="center" wrapText="1"/>
      <protection locked="0" hidden="1"/>
    </xf>
    <xf numFmtId="166" fontId="21" fillId="2" borderId="0" xfId="0" applyNumberFormat="1" applyFont="1" applyFill="1" applyBorder="1" applyAlignment="1" applyProtection="1">
      <alignment horizontal="center"/>
      <protection locked="0" hidden="1"/>
    </xf>
    <xf numFmtId="166" fontId="0" fillId="4" borderId="5" xfId="0" applyNumberFormat="1" applyFont="1" applyFill="1" applyBorder="1" applyAlignment="1" applyProtection="1">
      <alignment horizontal="left" vertical="center" wrapText="1"/>
      <protection locked="0" hidden="1"/>
    </xf>
    <xf numFmtId="166" fontId="0" fillId="6" borderId="5" xfId="0" applyNumberFormat="1" applyFont="1" applyFill="1" applyBorder="1" applyAlignment="1" applyProtection="1">
      <alignment horizontal="left" vertical="center" wrapText="1"/>
      <protection locked="0" hidden="1"/>
    </xf>
    <xf numFmtId="1" fontId="7" fillId="2" borderId="0" xfId="0" applyNumberFormat="1" applyFont="1" applyFill="1" applyBorder="1" applyProtection="1">
      <protection locked="0" hidden="1"/>
    </xf>
    <xf numFmtId="0" fontId="7" fillId="2"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6" borderId="3" xfId="0" applyFont="1" applyFill="1" applyBorder="1" applyAlignment="1" applyProtection="1">
      <alignment horizontal="left" vertical="center" wrapText="1"/>
      <protection locked="0" hidden="1"/>
    </xf>
    <xf numFmtId="0" fontId="34" fillId="9" borderId="21" xfId="0" applyFont="1" applyFill="1" applyBorder="1" applyAlignment="1"/>
    <xf numFmtId="3" fontId="0" fillId="6" borderId="5" xfId="0" applyNumberFormat="1" applyFill="1" applyBorder="1" applyAlignment="1" applyProtection="1">
      <alignment horizontal="left" vertical="center" wrapText="1"/>
      <protection locked="0" hidden="1"/>
    </xf>
    <xf numFmtId="0" fontId="7" fillId="2" borderId="0" xfId="0" applyFont="1" applyFill="1" applyBorder="1" applyAlignment="1" applyProtection="1">
      <alignment horizontal="center"/>
      <protection locked="0" hidden="1"/>
    </xf>
    <xf numFmtId="164" fontId="0" fillId="0" borderId="0" xfId="0" applyNumberFormat="1" applyBorder="1"/>
    <xf numFmtId="0" fontId="0" fillId="6" borderId="2" xfId="0" applyFont="1" applyFill="1" applyBorder="1" applyAlignment="1" applyProtection="1">
      <alignment horizontal="left" vertical="center" wrapText="1"/>
      <protection locked="0" hidden="1"/>
    </xf>
    <xf numFmtId="16" fontId="37" fillId="2" borderId="0" xfId="0" applyNumberFormat="1" applyFont="1" applyFill="1" applyBorder="1" applyAlignment="1" applyProtection="1">
      <alignment vertical="top" wrapText="1"/>
      <protection hidden="1"/>
    </xf>
    <xf numFmtId="0" fontId="19" fillId="2" borderId="0" xfId="0" applyFont="1" applyFill="1" applyBorder="1" applyAlignment="1" applyProtection="1">
      <alignment horizontal="left" vertical="center" wrapText="1" indent="2"/>
      <protection hidden="1"/>
    </xf>
    <xf numFmtId="3" fontId="19" fillId="2" borderId="0" xfId="1" applyNumberFormat="1" applyFont="1" applyFill="1" applyBorder="1" applyAlignment="1" applyProtection="1">
      <alignment horizontal="center" vertical="center" wrapText="1"/>
      <protection hidden="1"/>
    </xf>
    <xf numFmtId="0" fontId="19"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indent="2"/>
      <protection hidden="1"/>
    </xf>
    <xf numFmtId="3" fontId="7" fillId="2" borderId="0" xfId="1"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2" fontId="7" fillId="0" borderId="10" xfId="0" applyNumberFormat="1" applyFont="1" applyBorder="1" applyProtection="1">
      <protection hidden="1"/>
    </xf>
    <xf numFmtId="0" fontId="7" fillId="8" borderId="0" xfId="0" applyFont="1" applyFill="1" applyBorder="1" applyProtection="1">
      <protection locked="0" hidden="1"/>
    </xf>
    <xf numFmtId="1" fontId="7" fillId="8" borderId="0" xfId="0" applyNumberFormat="1" applyFont="1" applyFill="1" applyBorder="1" applyProtection="1">
      <protection locked="0" hidden="1"/>
    </xf>
    <xf numFmtId="164" fontId="7" fillId="8" borderId="0" xfId="0" applyNumberFormat="1" applyFont="1" applyFill="1" applyBorder="1" applyProtection="1">
      <protection locked="0" hidden="1"/>
    </xf>
    <xf numFmtId="9" fontId="7" fillId="8" borderId="0" xfId="0" applyNumberFormat="1" applyFont="1" applyFill="1" applyBorder="1" applyProtection="1">
      <protection locked="0" hidden="1"/>
    </xf>
    <xf numFmtId="0" fontId="7" fillId="9" borderId="0" xfId="0" applyFont="1" applyFill="1" applyBorder="1" applyProtection="1">
      <protection locked="0" hidden="1"/>
    </xf>
    <xf numFmtId="0" fontId="11" fillId="9" borderId="0" xfId="0" applyFont="1" applyFill="1" applyBorder="1" applyProtection="1">
      <protection locked="0" hidden="1"/>
    </xf>
    <xf numFmtId="3" fontId="7" fillId="9" borderId="0" xfId="0" applyNumberFormat="1" applyFont="1" applyFill="1" applyBorder="1" applyProtection="1">
      <protection locked="0" hidden="1"/>
    </xf>
    <xf numFmtId="9" fontId="7" fillId="9" borderId="0" xfId="0" applyNumberFormat="1" applyFont="1" applyFill="1" applyBorder="1" applyProtection="1">
      <protection locked="0" hidden="1"/>
    </xf>
    <xf numFmtId="167" fontId="7" fillId="9" borderId="0" xfId="0" applyNumberFormat="1" applyFont="1" applyFill="1" applyBorder="1" applyProtection="1">
      <protection locked="0" hidden="1"/>
    </xf>
    <xf numFmtId="3" fontId="0" fillId="0" borderId="0" xfId="0" applyNumberFormat="1"/>
    <xf numFmtId="1" fontId="13" fillId="2" borderId="8" xfId="0" applyNumberFormat="1" applyFont="1" applyFill="1" applyBorder="1" applyAlignment="1" applyProtection="1">
      <alignment vertical="center"/>
      <protection hidden="1"/>
    </xf>
    <xf numFmtId="49" fontId="10" fillId="2" borderId="0" xfId="0" applyNumberFormat="1" applyFont="1" applyFill="1" applyBorder="1" applyAlignment="1" applyProtection="1">
      <alignment vertical="center" wrapText="1"/>
      <protection hidden="1"/>
    </xf>
    <xf numFmtId="1" fontId="10" fillId="2" borderId="0" xfId="0" applyNumberFormat="1" applyFont="1" applyFill="1" applyBorder="1" applyAlignment="1" applyProtection="1">
      <alignment vertical="center"/>
      <protection hidden="1"/>
    </xf>
    <xf numFmtId="0" fontId="10" fillId="2" borderId="3" xfId="0" applyFont="1" applyFill="1" applyBorder="1" applyAlignment="1" applyProtection="1">
      <alignment horizontal="left" vertical="center"/>
      <protection hidden="1"/>
    </xf>
    <xf numFmtId="1" fontId="11" fillId="2" borderId="8" xfId="0" applyNumberFormat="1" applyFont="1" applyFill="1" applyBorder="1" applyAlignment="1" applyProtection="1">
      <alignment horizontal="center" wrapText="1"/>
      <protection hidden="1"/>
    </xf>
    <xf numFmtId="1" fontId="11" fillId="2" borderId="8" xfId="0" applyNumberFormat="1" applyFont="1" applyFill="1" applyBorder="1" applyAlignment="1" applyProtection="1">
      <alignment wrapText="1"/>
      <protection hidden="1"/>
    </xf>
    <xf numFmtId="0" fontId="7" fillId="2" borderId="3" xfId="0" applyFont="1" applyFill="1" applyBorder="1" applyAlignment="1" applyProtection="1">
      <alignment horizontal="left" vertical="center" wrapText="1"/>
      <protection hidden="1"/>
    </xf>
    <xf numFmtId="3" fontId="7" fillId="2" borderId="3" xfId="0" applyNumberFormat="1" applyFont="1" applyFill="1" applyBorder="1" applyAlignment="1" applyProtection="1">
      <alignment horizontal="center" vertical="center" wrapText="1"/>
      <protection hidden="1"/>
    </xf>
    <xf numFmtId="3" fontId="7" fillId="2" borderId="3" xfId="1" applyNumberFormat="1" applyFont="1" applyFill="1" applyBorder="1" applyAlignment="1" applyProtection="1">
      <alignment horizontal="center" vertical="center" wrapText="1"/>
      <protection hidden="1"/>
    </xf>
    <xf numFmtId="9" fontId="7" fillId="2" borderId="3" xfId="1" applyFont="1" applyFill="1" applyBorder="1" applyAlignment="1" applyProtection="1">
      <alignment horizontal="center" vertical="center" wrapText="1"/>
      <protection hidden="1"/>
    </xf>
    <xf numFmtId="0" fontId="7" fillId="2" borderId="3" xfId="0" applyFont="1" applyFill="1" applyBorder="1" applyAlignment="1" applyProtection="1">
      <alignment horizontal="left" vertical="center" wrapText="1" indent="1"/>
      <protection hidden="1"/>
    </xf>
    <xf numFmtId="0" fontId="7" fillId="2" borderId="3" xfId="0" applyFont="1" applyFill="1" applyBorder="1" applyAlignment="1" applyProtection="1">
      <alignment horizontal="left" vertical="center" wrapText="1" indent="2"/>
      <protection hidden="1"/>
    </xf>
    <xf numFmtId="0" fontId="0" fillId="0" borderId="0" xfId="0" applyAlignment="1">
      <alignment wrapText="1"/>
    </xf>
    <xf numFmtId="0" fontId="5" fillId="11" borderId="10" xfId="0" applyFont="1" applyFill="1" applyBorder="1" applyProtection="1">
      <protection hidden="1"/>
    </xf>
    <xf numFmtId="16" fontId="7" fillId="2" borderId="9" xfId="0" applyNumberFormat="1" applyFont="1" applyFill="1" applyBorder="1" applyAlignment="1" applyProtection="1">
      <alignment vertical="center" wrapText="1"/>
      <protection hidden="1"/>
    </xf>
    <xf numFmtId="16" fontId="7" fillId="2" borderId="0" xfId="0" applyNumberFormat="1" applyFont="1" applyFill="1" applyBorder="1" applyAlignment="1" applyProtection="1">
      <alignment vertical="center" wrapText="1"/>
      <protection hidden="1"/>
    </xf>
    <xf numFmtId="0" fontId="0" fillId="8" borderId="0" xfId="0" applyFill="1"/>
    <xf numFmtId="0" fontId="0" fillId="8" borderId="0" xfId="0" applyFill="1" applyAlignment="1">
      <alignment wrapText="1"/>
    </xf>
    <xf numFmtId="9" fontId="0" fillId="0" borderId="0" xfId="0" applyNumberFormat="1"/>
    <xf numFmtId="0" fontId="0" fillId="12" borderId="0" xfId="0" applyFill="1"/>
    <xf numFmtId="0" fontId="0" fillId="12" borderId="0" xfId="0" applyFill="1" applyAlignment="1">
      <alignment wrapText="1"/>
    </xf>
    <xf numFmtId="2" fontId="0" fillId="0" borderId="0" xfId="0" applyNumberFormat="1"/>
    <xf numFmtId="3" fontId="7" fillId="0" borderId="55" xfId="0" applyNumberFormat="1" applyFont="1" applyFill="1" applyBorder="1" applyAlignment="1" applyProtection="1">
      <alignment horizontal="right" vertical="center" wrapText="1"/>
      <protection hidden="1"/>
    </xf>
    <xf numFmtId="3" fontId="7" fillId="0" borderId="3" xfId="0" applyNumberFormat="1" applyFont="1" applyFill="1" applyBorder="1" applyAlignment="1" applyProtection="1">
      <alignment horizontal="right" vertical="center" wrapText="1"/>
      <protection hidden="1"/>
    </xf>
    <xf numFmtId="3" fontId="7" fillId="0" borderId="56" xfId="0" applyNumberFormat="1" applyFont="1" applyFill="1" applyBorder="1" applyAlignment="1" applyProtection="1">
      <alignment horizontal="right" vertical="center" wrapText="1"/>
      <protection hidden="1"/>
    </xf>
    <xf numFmtId="0" fontId="5" fillId="13" borderId="0" xfId="0" applyFont="1" applyFill="1"/>
    <xf numFmtId="0" fontId="5" fillId="13" borderId="0" xfId="0" applyFont="1" applyFill="1" applyAlignment="1">
      <alignment wrapText="1"/>
    </xf>
    <xf numFmtId="0" fontId="0" fillId="11" borderId="0" xfId="0" applyFill="1"/>
    <xf numFmtId="1" fontId="6" fillId="11" borderId="51" xfId="0" applyNumberFormat="1" applyFont="1" applyFill="1" applyBorder="1" applyAlignment="1" applyProtection="1">
      <alignment horizontal="center" vertical="center" wrapText="1"/>
      <protection hidden="1"/>
    </xf>
    <xf numFmtId="9" fontId="11" fillId="11" borderId="25" xfId="1" applyFont="1" applyFill="1" applyBorder="1" applyAlignment="1" applyProtection="1">
      <alignment horizontal="right" vertical="center" wrapText="1"/>
      <protection hidden="1"/>
    </xf>
    <xf numFmtId="1" fontId="6" fillId="7" borderId="8" xfId="0" applyNumberFormat="1" applyFont="1" applyFill="1" applyBorder="1" applyAlignment="1" applyProtection="1">
      <alignment vertical="center"/>
      <protection hidden="1"/>
    </xf>
    <xf numFmtId="1" fontId="6" fillId="7" borderId="0" xfId="0" applyNumberFormat="1" applyFont="1" applyFill="1" applyBorder="1" applyAlignment="1" applyProtection="1">
      <alignment vertical="center"/>
      <protection hidden="1"/>
    </xf>
    <xf numFmtId="1" fontId="6" fillId="14" borderId="0" xfId="0" applyNumberFormat="1" applyFont="1" applyFill="1" applyBorder="1" applyAlignment="1" applyProtection="1">
      <alignment vertical="center"/>
      <protection hidden="1"/>
    </xf>
    <xf numFmtId="49" fontId="6" fillId="14" borderId="53" xfId="0" applyNumberFormat="1" applyFont="1" applyFill="1" applyBorder="1" applyAlignment="1" applyProtection="1">
      <alignment horizontal="center" vertical="center" wrapText="1"/>
      <protection hidden="1"/>
    </xf>
    <xf numFmtId="49" fontId="6" fillId="14" borderId="9" xfId="0" applyNumberFormat="1" applyFont="1" applyFill="1" applyBorder="1" applyAlignment="1" applyProtection="1">
      <alignment horizontal="center" vertical="center" wrapText="1"/>
      <protection hidden="1"/>
    </xf>
    <xf numFmtId="1" fontId="6" fillId="14" borderId="8" xfId="0" applyNumberFormat="1" applyFont="1" applyFill="1" applyBorder="1" applyAlignment="1" applyProtection="1">
      <alignment horizontal="left" vertical="center" wrapText="1"/>
      <protection hidden="1"/>
    </xf>
    <xf numFmtId="1" fontId="6" fillId="14" borderId="6" xfId="0" applyNumberFormat="1" applyFont="1" applyFill="1" applyBorder="1" applyAlignment="1" applyProtection="1">
      <alignment horizontal="left" vertical="center" wrapText="1"/>
      <protection hidden="1"/>
    </xf>
    <xf numFmtId="1" fontId="6" fillId="14" borderId="0" xfId="0" applyNumberFormat="1" applyFont="1" applyFill="1" applyBorder="1" applyAlignment="1" applyProtection="1">
      <alignment horizontal="left" vertical="center" wrapText="1"/>
      <protection hidden="1"/>
    </xf>
    <xf numFmtId="1" fontId="6" fillId="14" borderId="24" xfId="0" applyNumberFormat="1" applyFont="1" applyFill="1" applyBorder="1" applyAlignment="1" applyProtection="1">
      <alignment horizontal="left" vertical="center" wrapText="1"/>
      <protection hidden="1"/>
    </xf>
    <xf numFmtId="49" fontId="13" fillId="2" borderId="7" xfId="0" applyNumberFormat="1" applyFont="1" applyFill="1" applyBorder="1" applyAlignment="1" applyProtection="1">
      <alignment vertical="center" wrapText="1"/>
      <protection hidden="1"/>
    </xf>
    <xf numFmtId="166" fontId="0" fillId="0" borderId="0" xfId="0" applyNumberFormat="1"/>
    <xf numFmtId="0" fontId="7" fillId="6" borderId="7" xfId="0" applyFont="1" applyFill="1" applyBorder="1" applyAlignment="1" applyProtection="1">
      <alignment vertical="center" wrapText="1"/>
      <protection locked="0" hidden="1"/>
    </xf>
    <xf numFmtId="0" fontId="7" fillId="6" borderId="0" xfId="0" applyFont="1" applyFill="1" applyBorder="1" applyProtection="1">
      <protection locked="0" hidden="1"/>
    </xf>
    <xf numFmtId="3" fontId="7" fillId="6" borderId="0" xfId="0" applyNumberFormat="1" applyFont="1" applyFill="1" applyBorder="1" applyProtection="1">
      <protection locked="0" hidden="1"/>
    </xf>
    <xf numFmtId="1" fontId="7" fillId="6" borderId="0" xfId="0" applyNumberFormat="1" applyFont="1" applyFill="1" applyBorder="1" applyProtection="1">
      <protection locked="0" hidden="1"/>
    </xf>
    <xf numFmtId="0" fontId="50" fillId="2" borderId="0" xfId="0" applyFont="1" applyFill="1" applyBorder="1" applyAlignment="1" applyProtection="1">
      <alignment horizontal="left" vertical="center"/>
      <protection hidden="1"/>
    </xf>
    <xf numFmtId="3" fontId="21" fillId="2" borderId="0" xfId="0" applyNumberFormat="1" applyFont="1" applyFill="1" applyBorder="1" applyAlignment="1" applyProtection="1">
      <alignment horizontal="center" vertical="center"/>
      <protection locked="0" hidden="1"/>
    </xf>
    <xf numFmtId="16" fontId="11" fillId="2" borderId="9" xfId="0" applyNumberFormat="1" applyFont="1" applyFill="1" applyBorder="1" applyAlignment="1" applyProtection="1">
      <alignment vertical="top" wrapText="1"/>
      <protection hidden="1"/>
    </xf>
    <xf numFmtId="3" fontId="0" fillId="6" borderId="3" xfId="0" applyNumberFormat="1" applyFont="1" applyFill="1" applyBorder="1" applyAlignment="1" applyProtection="1">
      <alignment horizontal="center" vertical="center" wrapText="1"/>
      <protection locked="0" hidden="1"/>
    </xf>
    <xf numFmtId="0" fontId="0" fillId="6" borderId="3" xfId="0" applyFont="1" applyFill="1" applyBorder="1" applyAlignment="1" applyProtection="1">
      <alignment horizontal="center" vertical="center" wrapText="1"/>
      <protection locked="0" hidden="1"/>
    </xf>
    <xf numFmtId="165" fontId="19" fillId="0" borderId="0" xfId="0" applyNumberFormat="1" applyFont="1" applyProtection="1">
      <protection hidden="1"/>
    </xf>
    <xf numFmtId="4" fontId="19" fillId="0" borderId="0" xfId="0" applyNumberFormat="1" applyFont="1" applyProtection="1">
      <protection hidden="1"/>
    </xf>
    <xf numFmtId="3" fontId="19" fillId="0" borderId="0" xfId="0" applyNumberFormat="1" applyFont="1" applyProtection="1">
      <protection hidden="1"/>
    </xf>
    <xf numFmtId="0" fontId="37" fillId="0" borderId="0" xfId="0" applyFont="1" applyAlignment="1" applyProtection="1">
      <alignment horizontal="center"/>
      <protection hidden="1"/>
    </xf>
    <xf numFmtId="0" fontId="19" fillId="0" borderId="0" xfId="0" applyFont="1" applyProtection="1">
      <protection hidden="1"/>
    </xf>
    <xf numFmtId="0" fontId="37" fillId="0" borderId="0" xfId="0" applyFont="1" applyProtection="1">
      <protection hidden="1"/>
    </xf>
    <xf numFmtId="164" fontId="19" fillId="0" borderId="0" xfId="0" applyNumberFormat="1" applyFont="1" applyProtection="1">
      <protection hidden="1"/>
    </xf>
    <xf numFmtId="0" fontId="7" fillId="18" borderId="0" xfId="0" applyFont="1" applyFill="1" applyBorder="1" applyProtection="1">
      <protection locked="0" hidden="1"/>
    </xf>
    <xf numFmtId="164" fontId="7" fillId="18" borderId="0" xfId="0" applyNumberFormat="1" applyFont="1" applyFill="1" applyBorder="1" applyProtection="1">
      <protection locked="0" hidden="1"/>
    </xf>
    <xf numFmtId="1" fontId="7" fillId="18" borderId="0" xfId="0" applyNumberFormat="1" applyFont="1" applyFill="1" applyBorder="1" applyProtection="1">
      <protection locked="0" hidden="1"/>
    </xf>
    <xf numFmtId="3" fontId="7" fillId="18" borderId="0" xfId="0" applyNumberFormat="1" applyFont="1" applyFill="1" applyBorder="1" applyProtection="1">
      <protection locked="0" hidden="1"/>
    </xf>
    <xf numFmtId="167" fontId="7" fillId="18" borderId="0" xfId="0" applyNumberFormat="1" applyFont="1" applyFill="1" applyBorder="1" applyProtection="1">
      <protection locked="0" hidden="1"/>
    </xf>
    <xf numFmtId="166" fontId="0" fillId="4" borderId="5" xfId="0" applyNumberFormat="1" applyFont="1" applyFill="1" applyBorder="1" applyAlignment="1" applyProtection="1">
      <alignment horizontal="left" vertical="center" wrapText="1"/>
      <protection hidden="1"/>
    </xf>
    <xf numFmtId="0" fontId="0" fillId="4" borderId="5" xfId="0" applyFont="1" applyFill="1" applyBorder="1" applyAlignment="1" applyProtection="1">
      <alignment horizontal="left" vertical="center" wrapText="1"/>
      <protection hidden="1"/>
    </xf>
    <xf numFmtId="1" fontId="11" fillId="4" borderId="27" xfId="0" applyNumberFormat="1" applyFont="1" applyFill="1" applyBorder="1" applyAlignment="1" applyProtection="1">
      <alignment horizontal="left" vertical="center" wrapText="1"/>
      <protection hidden="1"/>
    </xf>
    <xf numFmtId="1" fontId="11" fillId="4" borderId="12" xfId="0" applyNumberFormat="1" applyFont="1" applyFill="1" applyBorder="1" applyAlignment="1" applyProtection="1">
      <alignment horizontal="left" vertical="center" wrapText="1"/>
      <protection hidden="1"/>
    </xf>
    <xf numFmtId="3" fontId="13" fillId="4" borderId="10" xfId="0" applyNumberFormat="1" applyFont="1" applyFill="1" applyBorder="1" applyAlignment="1" applyProtection="1">
      <alignment horizontal="right" vertical="center" wrapText="1"/>
      <protection hidden="1"/>
    </xf>
    <xf numFmtId="9" fontId="21" fillId="8" borderId="0" xfId="0" applyNumberFormat="1" applyFont="1" applyFill="1" applyBorder="1" applyAlignment="1" applyProtection="1">
      <alignment horizontal="center" vertical="center"/>
      <protection locked="0" hidden="1"/>
    </xf>
    <xf numFmtId="3" fontId="21" fillId="8" borderId="0" xfId="0" applyNumberFormat="1" applyFont="1" applyFill="1" applyBorder="1" applyAlignment="1" applyProtection="1">
      <alignment horizontal="center" vertical="center"/>
      <protection locked="0" hidden="1"/>
    </xf>
    <xf numFmtId="1" fontId="21" fillId="8" borderId="0" xfId="0" applyNumberFormat="1" applyFont="1" applyFill="1" applyBorder="1" applyAlignment="1" applyProtection="1">
      <alignment horizontal="center" vertical="center"/>
      <protection locked="0" hidden="1"/>
    </xf>
    <xf numFmtId="164" fontId="21" fillId="8" borderId="0" xfId="0" applyNumberFormat="1" applyFont="1" applyFill="1" applyBorder="1" applyAlignment="1" applyProtection="1">
      <alignment horizontal="center" vertical="center"/>
      <protection locked="0" hidden="1"/>
    </xf>
    <xf numFmtId="0" fontId="11" fillId="18" borderId="0" xfId="0" applyFont="1" applyFill="1" applyBorder="1" applyProtection="1">
      <protection locked="0" hidden="1"/>
    </xf>
    <xf numFmtId="3" fontId="11" fillId="18" borderId="0" xfId="0" applyNumberFormat="1" applyFont="1" applyFill="1" applyBorder="1" applyProtection="1">
      <protection locked="0" hidden="1"/>
    </xf>
    <xf numFmtId="167" fontId="11" fillId="18" borderId="0" xfId="0" applyNumberFormat="1" applyFont="1" applyFill="1" applyBorder="1" applyProtection="1">
      <protection locked="0" hidden="1"/>
    </xf>
    <xf numFmtId="9" fontId="7" fillId="3" borderId="0" xfId="1" applyFont="1" applyFill="1" applyBorder="1" applyProtection="1">
      <protection locked="0" hidden="1"/>
    </xf>
    <xf numFmtId="0" fontId="7" fillId="3" borderId="0" xfId="0" applyFont="1" applyFill="1" applyBorder="1" applyProtection="1">
      <protection locked="0" hidden="1"/>
    </xf>
    <xf numFmtId="166" fontId="7" fillId="18" borderId="0" xfId="0" applyNumberFormat="1" applyFont="1" applyFill="1" applyBorder="1" applyProtection="1">
      <protection locked="0" hidden="1"/>
    </xf>
    <xf numFmtId="49" fontId="18" fillId="2" borderId="0" xfId="0" applyNumberFormat="1" applyFont="1" applyFill="1" applyBorder="1" applyAlignment="1" applyProtection="1">
      <alignment vertical="top" wrapText="1"/>
      <protection locked="0" hidden="1"/>
    </xf>
    <xf numFmtId="0" fontId="7" fillId="2" borderId="20" xfId="0" applyFont="1" applyFill="1" applyBorder="1" applyAlignment="1" applyProtection="1">
      <alignment horizontal="center" vertical="center"/>
      <protection locked="0" hidden="1"/>
    </xf>
    <xf numFmtId="0" fontId="7" fillId="19" borderId="0" xfId="0" applyFont="1" applyFill="1" applyBorder="1" applyProtection="1">
      <protection locked="0" hidden="1"/>
    </xf>
    <xf numFmtId="0" fontId="20" fillId="11" borderId="0" xfId="0" applyFont="1" applyFill="1" applyBorder="1" applyProtection="1">
      <protection locked="0" hidden="1"/>
    </xf>
    <xf numFmtId="0" fontId="7" fillId="11" borderId="0" xfId="0" applyFont="1" applyFill="1" applyBorder="1" applyProtection="1">
      <protection locked="0" hidden="1"/>
    </xf>
    <xf numFmtId="9" fontId="7" fillId="11" borderId="0" xfId="1" applyFont="1" applyFill="1" applyBorder="1" applyProtection="1">
      <protection locked="0" hidden="1"/>
    </xf>
    <xf numFmtId="9" fontId="7" fillId="11" borderId="0" xfId="1" applyNumberFormat="1" applyFont="1" applyFill="1" applyBorder="1" applyProtection="1">
      <protection locked="0" hidden="1"/>
    </xf>
    <xf numFmtId="0" fontId="0" fillId="19" borderId="0" xfId="0" applyFill="1"/>
    <xf numFmtId="0" fontId="54" fillId="2" borderId="0" xfId="0" applyFont="1" applyFill="1" applyBorder="1" applyProtection="1">
      <protection locked="0" hidden="1"/>
    </xf>
    <xf numFmtId="169" fontId="7" fillId="2" borderId="0" xfId="0" applyNumberFormat="1" applyFont="1" applyFill="1" applyBorder="1" applyProtection="1">
      <protection locked="0" hidden="1"/>
    </xf>
    <xf numFmtId="2" fontId="7" fillId="19" borderId="0" xfId="0" applyNumberFormat="1" applyFont="1" applyFill="1" applyBorder="1" applyProtection="1">
      <protection locked="0" hidden="1"/>
    </xf>
    <xf numFmtId="9" fontId="11" fillId="4" borderId="17" xfId="1" applyNumberFormat="1" applyFont="1" applyFill="1" applyBorder="1" applyAlignment="1" applyProtection="1">
      <alignment horizontal="right" vertical="center" wrapText="1"/>
      <protection hidden="1"/>
    </xf>
    <xf numFmtId="1" fontId="13" fillId="11" borderId="2" xfId="0" applyNumberFormat="1" applyFont="1" applyFill="1" applyBorder="1" applyAlignment="1" applyProtection="1">
      <alignment vertical="center"/>
      <protection hidden="1"/>
    </xf>
    <xf numFmtId="49" fontId="13" fillId="11" borderId="15" xfId="0" applyNumberFormat="1" applyFont="1" applyFill="1" applyBorder="1" applyAlignment="1" applyProtection="1">
      <alignment vertical="center" wrapText="1"/>
      <protection hidden="1"/>
    </xf>
    <xf numFmtId="1" fontId="13" fillId="11" borderId="0" xfId="0" applyNumberFormat="1" applyFont="1" applyFill="1" applyBorder="1" applyAlignment="1" applyProtection="1">
      <alignment vertical="center"/>
      <protection hidden="1"/>
    </xf>
    <xf numFmtId="1" fontId="11" fillId="11" borderId="0" xfId="0" applyNumberFormat="1" applyFont="1" applyFill="1" applyBorder="1" applyAlignment="1" applyProtection="1">
      <alignment horizontal="center" wrapText="1"/>
      <protection hidden="1"/>
    </xf>
    <xf numFmtId="1" fontId="11" fillId="11" borderId="0" xfId="0" applyNumberFormat="1" applyFont="1" applyFill="1" applyBorder="1" applyAlignment="1" applyProtection="1">
      <alignment wrapText="1"/>
      <protection hidden="1"/>
    </xf>
    <xf numFmtId="16" fontId="11" fillId="11" borderId="0" xfId="0" applyNumberFormat="1" applyFont="1" applyFill="1" applyBorder="1" applyAlignment="1" applyProtection="1">
      <alignment vertical="top" wrapText="1"/>
      <protection hidden="1"/>
    </xf>
    <xf numFmtId="0" fontId="7" fillId="11" borderId="12" xfId="0" applyFont="1" applyFill="1" applyBorder="1" applyAlignment="1" applyProtection="1">
      <alignment horizontal="left" vertical="center" wrapText="1"/>
      <protection hidden="1"/>
    </xf>
    <xf numFmtId="3" fontId="7" fillId="11" borderId="10" xfId="0" applyNumberFormat="1" applyFont="1" applyFill="1" applyBorder="1" applyAlignment="1" applyProtection="1">
      <alignment horizontal="center" vertical="center" wrapText="1"/>
      <protection hidden="1"/>
    </xf>
    <xf numFmtId="0" fontId="7" fillId="11" borderId="3" xfId="0" applyFont="1" applyFill="1" applyBorder="1" applyAlignment="1" applyProtection="1">
      <alignment horizontal="left" vertical="center" wrapText="1"/>
      <protection hidden="1"/>
    </xf>
    <xf numFmtId="0" fontId="0" fillId="11" borderId="0" xfId="0" applyFill="1" applyProtection="1">
      <protection hidden="1"/>
    </xf>
    <xf numFmtId="49" fontId="13" fillId="2" borderId="63" xfId="0" applyNumberFormat="1" applyFont="1" applyFill="1" applyBorder="1" applyAlignment="1" applyProtection="1">
      <alignment vertical="center" wrapText="1"/>
      <protection hidden="1"/>
    </xf>
    <xf numFmtId="1" fontId="13" fillId="2" borderId="64" xfId="0" applyNumberFormat="1" applyFont="1" applyFill="1" applyBorder="1" applyAlignment="1" applyProtection="1">
      <alignment vertical="center"/>
      <protection hidden="1"/>
    </xf>
    <xf numFmtId="1" fontId="11" fillId="2" borderId="64" xfId="0" applyNumberFormat="1" applyFont="1" applyFill="1" applyBorder="1" applyAlignment="1" applyProtection="1">
      <alignment horizontal="center" wrapText="1"/>
      <protection hidden="1"/>
    </xf>
    <xf numFmtId="1" fontId="11" fillId="2" borderId="64" xfId="0" applyNumberFormat="1" applyFont="1" applyFill="1" applyBorder="1" applyAlignment="1" applyProtection="1">
      <alignment horizontal="left" wrapText="1"/>
      <protection hidden="1"/>
    </xf>
    <xf numFmtId="0" fontId="5" fillId="2" borderId="44" xfId="0" applyFont="1" applyFill="1" applyBorder="1" applyProtection="1">
      <protection hidden="1"/>
    </xf>
    <xf numFmtId="0" fontId="7" fillId="20" borderId="0" xfId="0" applyFont="1" applyFill="1" applyBorder="1" applyProtection="1">
      <protection locked="0" hidden="1"/>
    </xf>
    <xf numFmtId="2" fontId="7" fillId="20" borderId="0" xfId="0" applyNumberFormat="1" applyFont="1" applyFill="1" applyBorder="1" applyProtection="1">
      <protection locked="0" hidden="1"/>
    </xf>
    <xf numFmtId="9" fontId="7" fillId="20" borderId="0" xfId="0" applyNumberFormat="1" applyFont="1" applyFill="1" applyBorder="1" applyProtection="1">
      <protection locked="0" hidden="1"/>
    </xf>
    <xf numFmtId="2" fontId="11" fillId="19" borderId="0" xfId="0" applyNumberFormat="1" applyFont="1" applyFill="1" applyBorder="1" applyProtection="1">
      <protection locked="0" hidden="1"/>
    </xf>
    <xf numFmtId="0" fontId="11" fillId="19" borderId="0" xfId="0" applyFont="1" applyFill="1" applyBorder="1" applyProtection="1">
      <protection locked="0" hidden="1"/>
    </xf>
    <xf numFmtId="0" fontId="0" fillId="19" borderId="0" xfId="0" applyFill="1" applyAlignment="1">
      <alignment horizontal="right"/>
    </xf>
    <xf numFmtId="3" fontId="11" fillId="4" borderId="17" xfId="1" applyNumberFormat="1" applyFont="1" applyFill="1" applyBorder="1" applyAlignment="1" applyProtection="1">
      <alignment horizontal="right" vertical="center" wrapText="1"/>
      <protection hidden="1"/>
    </xf>
    <xf numFmtId="0" fontId="0" fillId="0" borderId="10" xfId="0" applyBorder="1" applyAlignment="1" applyProtection="1"/>
    <xf numFmtId="49" fontId="12" fillId="2" borderId="10" xfId="0" applyNumberFormat="1" applyFont="1" applyFill="1" applyBorder="1" applyAlignment="1" applyProtection="1"/>
    <xf numFmtId="0" fontId="0" fillId="0" borderId="10" xfId="0" applyBorder="1" applyAlignment="1" applyProtection="1">
      <alignment horizontal="center"/>
    </xf>
    <xf numFmtId="0" fontId="0" fillId="0" borderId="10" xfId="0" applyBorder="1" applyAlignment="1" applyProtection="1">
      <alignment vertical="center"/>
    </xf>
    <xf numFmtId="0" fontId="0" fillId="0" borderId="10" xfId="0" applyBorder="1" applyProtection="1"/>
    <xf numFmtId="0" fontId="7" fillId="0" borderId="10" xfId="0" applyFont="1" applyBorder="1" applyProtection="1"/>
    <xf numFmtId="0" fontId="0" fillId="0" borderId="13" xfId="0" applyBorder="1" applyAlignment="1" applyProtection="1"/>
    <xf numFmtId="0" fontId="3" fillId="0" borderId="13" xfId="0" applyFont="1" applyBorder="1" applyAlignment="1" applyProtection="1"/>
    <xf numFmtId="0" fontId="0" fillId="0" borderId="13" xfId="0" applyBorder="1" applyAlignment="1" applyProtection="1">
      <alignment horizontal="center"/>
    </xf>
    <xf numFmtId="0" fontId="0" fillId="0" borderId="11" xfId="0" applyBorder="1" applyProtection="1"/>
    <xf numFmtId="49" fontId="6" fillId="3" borderId="11" xfId="0" applyNumberFormat="1" applyFont="1" applyFill="1" applyBorder="1" applyAlignment="1" applyProtection="1">
      <alignment vertical="center" wrapText="1"/>
    </xf>
    <xf numFmtId="1" fontId="6" fillId="3" borderId="17" xfId="0" applyNumberFormat="1" applyFont="1" applyFill="1" applyBorder="1" applyAlignment="1" applyProtection="1">
      <alignment vertical="center"/>
    </xf>
    <xf numFmtId="1" fontId="2" fillId="3" borderId="17" xfId="0" applyNumberFormat="1" applyFont="1" applyFill="1" applyBorder="1" applyAlignment="1" applyProtection="1">
      <alignment horizontal="center" wrapText="1"/>
    </xf>
    <xf numFmtId="0" fontId="0" fillId="0" borderId="12" xfId="0" applyBorder="1" applyAlignment="1" applyProtection="1">
      <alignment vertical="center"/>
    </xf>
    <xf numFmtId="49" fontId="11" fillId="4" borderId="14" xfId="0" applyNumberFormat="1" applyFont="1" applyFill="1" applyBorder="1" applyAlignment="1" applyProtection="1">
      <alignment horizontal="left" vertical="center" wrapText="1"/>
    </xf>
    <xf numFmtId="0" fontId="7" fillId="4" borderId="14" xfId="0" applyFont="1" applyFill="1" applyBorder="1" applyAlignment="1" applyProtection="1">
      <alignment vertical="center" wrapText="1"/>
    </xf>
    <xf numFmtId="0" fontId="7" fillId="4" borderId="14" xfId="0" applyFont="1" applyFill="1" applyBorder="1" applyAlignment="1" applyProtection="1">
      <alignment horizontal="center" vertical="center" wrapText="1"/>
    </xf>
    <xf numFmtId="49" fontId="11" fillId="4" borderId="10" xfId="0" applyNumberFormat="1" applyFont="1" applyFill="1" applyBorder="1" applyAlignment="1" applyProtection="1">
      <alignment horizontal="left" vertical="center" wrapText="1"/>
    </xf>
    <xf numFmtId="0" fontId="7" fillId="4" borderId="10" xfId="0" applyFont="1" applyFill="1" applyBorder="1" applyAlignment="1" applyProtection="1">
      <alignment vertical="center" wrapText="1"/>
    </xf>
    <xf numFmtId="0" fontId="7" fillId="4" borderId="9" xfId="0" applyFont="1" applyFill="1" applyBorder="1" applyAlignment="1" applyProtection="1">
      <alignment vertical="center" wrapText="1"/>
    </xf>
    <xf numFmtId="0" fontId="7" fillId="4" borderId="9" xfId="0" applyFont="1" applyFill="1" applyBorder="1" applyAlignment="1" applyProtection="1">
      <alignment horizontal="center" vertical="center" wrapText="1"/>
    </xf>
    <xf numFmtId="0" fontId="7" fillId="4" borderId="7" xfId="0" applyFont="1" applyFill="1" applyBorder="1" applyAlignment="1" applyProtection="1">
      <alignment vertical="center" wrapText="1"/>
    </xf>
    <xf numFmtId="0" fontId="7" fillId="4" borderId="10"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49" fontId="2" fillId="3" borderId="11" xfId="0" applyNumberFormat="1" applyFont="1" applyFill="1" applyBorder="1" applyAlignment="1" applyProtection="1">
      <alignment vertical="top" wrapText="1"/>
    </xf>
    <xf numFmtId="1" fontId="2" fillId="3" borderId="17" xfId="0" applyNumberFormat="1" applyFont="1" applyFill="1" applyBorder="1" applyAlignment="1" applyProtection="1">
      <alignment horizontal="center" wrapText="1"/>
      <protection hidden="1"/>
    </xf>
    <xf numFmtId="49" fontId="11" fillId="4" borderId="14" xfId="0" applyNumberFormat="1" applyFont="1" applyFill="1" applyBorder="1" applyAlignment="1" applyProtection="1">
      <alignment vertical="center" wrapText="1"/>
    </xf>
    <xf numFmtId="49" fontId="11" fillId="4" borderId="10" xfId="0" applyNumberFormat="1" applyFont="1" applyFill="1" applyBorder="1" applyAlignment="1" applyProtection="1">
      <alignment vertical="center" wrapText="1"/>
    </xf>
    <xf numFmtId="0" fontId="7" fillId="4" borderId="7" xfId="0" applyFont="1" applyFill="1" applyBorder="1" applyAlignment="1" applyProtection="1">
      <alignment horizontal="left" vertical="center" wrapText="1" indent="1"/>
    </xf>
    <xf numFmtId="0" fontId="7" fillId="4" borderId="7" xfId="0" applyFont="1" applyFill="1" applyBorder="1" applyAlignment="1" applyProtection="1">
      <alignment horizontal="left" vertical="center" wrapText="1"/>
    </xf>
    <xf numFmtId="0" fontId="7" fillId="4" borderId="10" xfId="0" applyFont="1" applyFill="1" applyBorder="1" applyAlignment="1" applyProtection="1">
      <alignment horizontal="center" vertical="center"/>
    </xf>
    <xf numFmtId="0" fontId="0" fillId="11" borderId="10" xfId="0" applyFill="1" applyBorder="1" applyProtection="1"/>
    <xf numFmtId="49" fontId="11" fillId="11" borderId="10" xfId="0" applyNumberFormat="1" applyFont="1" applyFill="1" applyBorder="1" applyAlignment="1" applyProtection="1">
      <alignment vertical="center" wrapText="1"/>
    </xf>
    <xf numFmtId="0" fontId="7" fillId="11" borderId="7" xfId="0" applyFont="1" applyFill="1" applyBorder="1" applyAlignment="1" applyProtection="1">
      <alignment vertical="center" wrapText="1"/>
    </xf>
    <xf numFmtId="0" fontId="0" fillId="11" borderId="10" xfId="0" applyFont="1" applyFill="1" applyBorder="1" applyAlignment="1" applyProtection="1">
      <alignment horizontal="center" vertical="center" wrapText="1"/>
      <protection hidden="1"/>
    </xf>
    <xf numFmtId="0" fontId="0" fillId="11" borderId="10" xfId="0" applyFill="1" applyBorder="1" applyAlignment="1" applyProtection="1">
      <alignment vertical="center"/>
    </xf>
    <xf numFmtId="0" fontId="7" fillId="11" borderId="10" xfId="0" applyFont="1" applyFill="1" applyBorder="1" applyProtection="1"/>
    <xf numFmtId="0" fontId="0" fillId="11" borderId="10" xfId="0" applyFill="1" applyBorder="1" applyAlignment="1" applyProtection="1">
      <alignment vertical="center" wrapText="1"/>
    </xf>
    <xf numFmtId="49" fontId="11" fillId="11" borderId="10" xfId="0" applyNumberFormat="1" applyFont="1" applyFill="1" applyBorder="1" applyAlignment="1" applyProtection="1">
      <alignment vertical="top" wrapText="1"/>
    </xf>
    <xf numFmtId="0" fontId="7" fillId="11" borderId="0" xfId="0" applyFont="1" applyFill="1" applyBorder="1" applyAlignment="1" applyProtection="1">
      <alignment vertical="center" wrapText="1"/>
    </xf>
    <xf numFmtId="0" fontId="7" fillId="11" borderId="10" xfId="0" applyFont="1" applyFill="1" applyBorder="1" applyAlignment="1" applyProtection="1">
      <alignment horizontal="left" vertical="center" wrapText="1"/>
    </xf>
    <xf numFmtId="2" fontId="0" fillId="11" borderId="10" xfId="0" applyNumberFormat="1" applyFill="1" applyBorder="1" applyProtection="1"/>
    <xf numFmtId="0" fontId="0" fillId="11" borderId="54" xfId="0" applyFill="1" applyBorder="1" applyProtection="1"/>
    <xf numFmtId="49" fontId="11" fillId="11" borderId="54" xfId="0" applyNumberFormat="1" applyFont="1" applyFill="1" applyBorder="1" applyAlignment="1" applyProtection="1">
      <alignment vertical="top" wrapText="1"/>
    </xf>
    <xf numFmtId="0" fontId="7" fillId="11" borderId="23" xfId="0" applyFont="1" applyFill="1" applyBorder="1" applyAlignment="1" applyProtection="1">
      <alignment vertical="center" wrapText="1"/>
    </xf>
    <xf numFmtId="0" fontId="0" fillId="11" borderId="54" xfId="0" applyFont="1" applyFill="1" applyBorder="1" applyAlignment="1" applyProtection="1">
      <alignment horizontal="center" vertical="center" wrapText="1"/>
      <protection hidden="1"/>
    </xf>
    <xf numFmtId="0" fontId="7" fillId="11" borderId="54" xfId="0" applyFont="1" applyFill="1" applyBorder="1" applyAlignment="1" applyProtection="1">
      <alignment horizontal="left" vertical="center" wrapText="1"/>
    </xf>
    <xf numFmtId="0" fontId="0" fillId="11" borderId="54" xfId="0" applyFill="1" applyBorder="1" applyAlignment="1" applyProtection="1">
      <alignment vertical="center" wrapText="1"/>
    </xf>
    <xf numFmtId="0" fontId="7" fillId="11" borderId="54" xfId="0" applyFont="1" applyFill="1" applyBorder="1" applyProtection="1"/>
    <xf numFmtId="0" fontId="0" fillId="11" borderId="0" xfId="0" applyFill="1" applyBorder="1" applyProtection="1"/>
    <xf numFmtId="49" fontId="11" fillId="11" borderId="0" xfId="0" applyNumberFormat="1" applyFont="1" applyFill="1" applyBorder="1" applyAlignment="1" applyProtection="1">
      <alignment vertical="top" wrapText="1"/>
    </xf>
    <xf numFmtId="0" fontId="0" fillId="11" borderId="0" xfId="0" applyFont="1" applyFill="1" applyBorder="1" applyAlignment="1" applyProtection="1">
      <alignment horizontal="center" vertical="center" wrapText="1"/>
      <protection hidden="1"/>
    </xf>
    <xf numFmtId="0" fontId="7" fillId="11" borderId="0" xfId="0" applyFont="1" applyFill="1" applyBorder="1" applyAlignment="1" applyProtection="1">
      <alignment horizontal="left" vertical="center" wrapText="1"/>
    </xf>
    <xf numFmtId="0" fontId="7" fillId="11" borderId="10" xfId="0" applyFont="1" applyFill="1" applyBorder="1" applyAlignment="1" applyProtection="1">
      <alignment vertical="center"/>
    </xf>
    <xf numFmtId="0" fontId="7" fillId="11" borderId="0" xfId="0" applyFont="1" applyFill="1" applyBorder="1" applyProtection="1"/>
    <xf numFmtId="0" fontId="7" fillId="11" borderId="26" xfId="0" applyFont="1" applyFill="1" applyBorder="1" applyProtection="1"/>
    <xf numFmtId="0" fontId="7" fillId="11" borderId="27" xfId="0" applyFont="1" applyFill="1" applyBorder="1" applyAlignment="1" applyProtection="1">
      <alignment vertical="center"/>
    </xf>
    <xf numFmtId="0" fontId="7" fillId="11" borderId="14" xfId="0" applyFont="1" applyFill="1" applyBorder="1" applyProtection="1"/>
    <xf numFmtId="0" fontId="7" fillId="11" borderId="11" xfId="0" applyFont="1" applyFill="1" applyBorder="1" applyProtection="1"/>
    <xf numFmtId="0" fontId="7" fillId="2" borderId="11" xfId="0" applyFont="1" applyFill="1" applyBorder="1" applyProtection="1"/>
    <xf numFmtId="0" fontId="7" fillId="0" borderId="10" xfId="0" applyFont="1" applyBorder="1" applyAlignment="1" applyProtection="1">
      <alignment vertical="center"/>
    </xf>
    <xf numFmtId="0" fontId="5" fillId="0" borderId="10" xfId="0" applyFont="1" applyBorder="1" applyProtection="1"/>
    <xf numFmtId="0" fontId="5" fillId="0" borderId="10" xfId="0" applyFont="1" applyBorder="1" applyAlignment="1" applyProtection="1">
      <alignment vertical="center"/>
    </xf>
    <xf numFmtId="1" fontId="2" fillId="3" borderId="12" xfId="0" applyNumberFormat="1" applyFont="1" applyFill="1" applyBorder="1" applyAlignment="1" applyProtection="1">
      <alignment horizontal="center" wrapText="1"/>
      <protection locked="0"/>
    </xf>
    <xf numFmtId="0" fontId="0" fillId="0" borderId="10" xfId="0" applyBorder="1" applyProtection="1">
      <protection locked="0"/>
    </xf>
    <xf numFmtId="0" fontId="7" fillId="6" borderId="7" xfId="0" applyFont="1" applyFill="1" applyBorder="1" applyAlignment="1" applyProtection="1">
      <alignment horizontal="center" vertical="center" wrapText="1"/>
      <protection locked="0"/>
    </xf>
    <xf numFmtId="0" fontId="0" fillId="11" borderId="10" xfId="0" applyFont="1" applyFill="1" applyBorder="1" applyAlignment="1" applyProtection="1">
      <alignment horizontal="center" vertical="center" wrapText="1"/>
      <protection locked="0"/>
    </xf>
    <xf numFmtId="0" fontId="55" fillId="11" borderId="10" xfId="0" applyFont="1" applyFill="1" applyBorder="1" applyAlignment="1" applyProtection="1">
      <alignment horizontal="left" vertical="center" wrapText="1"/>
      <protection locked="0"/>
    </xf>
    <xf numFmtId="0" fontId="0" fillId="2" borderId="0" xfId="0" applyFont="1" applyFill="1" applyAlignment="1" applyProtection="1">
      <alignment wrapText="1"/>
    </xf>
    <xf numFmtId="49" fontId="12" fillId="2" borderId="0" xfId="0" applyNumberFormat="1" applyFont="1" applyFill="1" applyAlignment="1" applyProtection="1">
      <alignment vertical="center"/>
    </xf>
    <xf numFmtId="0" fontId="0" fillId="2" borderId="0" xfId="0" applyFont="1" applyFill="1" applyAlignment="1" applyProtection="1">
      <alignment vertical="center" wrapText="1"/>
    </xf>
    <xf numFmtId="0" fontId="7" fillId="2" borderId="0" xfId="0" applyFont="1" applyFill="1" applyAlignment="1" applyProtection="1">
      <alignment wrapText="1"/>
    </xf>
    <xf numFmtId="49" fontId="5" fillId="2" borderId="9" xfId="0" applyNumberFormat="1" applyFont="1" applyFill="1" applyBorder="1" applyAlignment="1" applyProtection="1">
      <alignment vertical="center" wrapText="1"/>
    </xf>
    <xf numFmtId="0" fontId="2" fillId="2" borderId="0" xfId="0" applyFont="1" applyFill="1" applyBorder="1" applyAlignment="1" applyProtection="1">
      <alignment vertical="center" wrapText="1"/>
    </xf>
    <xf numFmtId="0" fontId="0" fillId="2" borderId="0" xfId="0" applyFont="1" applyFill="1" applyBorder="1" applyAlignment="1" applyProtection="1">
      <alignment vertical="center" wrapText="1"/>
    </xf>
    <xf numFmtId="1" fontId="2" fillId="3" borderId="17" xfId="0" applyNumberFormat="1" applyFont="1" applyFill="1" applyBorder="1" applyAlignment="1" applyProtection="1">
      <alignment wrapText="1"/>
    </xf>
    <xf numFmtId="0" fontId="7" fillId="2" borderId="0" xfId="0" applyFont="1" applyFill="1" applyAlignment="1" applyProtection="1">
      <alignment vertical="center" wrapText="1"/>
    </xf>
    <xf numFmtId="49" fontId="7" fillId="4" borderId="1" xfId="0" applyNumberFormat="1" applyFont="1" applyFill="1" applyBorder="1" applyAlignment="1" applyProtection="1">
      <alignment vertical="center" wrapText="1"/>
    </xf>
    <xf numFmtId="0" fontId="7" fillId="4" borderId="18" xfId="0" applyFont="1" applyFill="1" applyBorder="1" applyAlignment="1" applyProtection="1">
      <alignment vertical="center" wrapText="1"/>
    </xf>
    <xf numFmtId="49" fontId="7" fillId="4" borderId="3" xfId="0" applyNumberFormat="1" applyFont="1" applyFill="1" applyBorder="1" applyAlignment="1" applyProtection="1">
      <alignment vertical="center" wrapText="1"/>
    </xf>
    <xf numFmtId="0" fontId="7" fillId="4" borderId="4" xfId="0" applyFont="1" applyFill="1" applyBorder="1" applyAlignment="1" applyProtection="1">
      <alignment vertical="center" wrapText="1"/>
    </xf>
    <xf numFmtId="0" fontId="0" fillId="0" borderId="0" xfId="0" applyFont="1" applyAlignment="1" applyProtection="1">
      <alignment wrapText="1"/>
    </xf>
    <xf numFmtId="0" fontId="7" fillId="4" borderId="2" xfId="0" applyFont="1" applyFill="1" applyBorder="1" applyAlignment="1" applyProtection="1">
      <alignment vertical="center" wrapText="1"/>
    </xf>
    <xf numFmtId="0" fontId="7" fillId="4" borderId="3" xfId="0" applyFont="1" applyFill="1" applyBorder="1" applyAlignment="1" applyProtection="1">
      <alignment vertical="center" wrapText="1"/>
    </xf>
    <xf numFmtId="0" fontId="11" fillId="2" borderId="0" xfId="0" applyFont="1" applyFill="1" applyAlignment="1" applyProtection="1">
      <alignment vertical="center" wrapText="1"/>
    </xf>
    <xf numFmtId="0" fontId="7" fillId="4" borderId="2"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49" fontId="5" fillId="2" borderId="3" xfId="0" applyNumberFormat="1" applyFont="1" applyFill="1" applyBorder="1" applyAlignment="1" applyProtection="1">
      <alignment vertical="center" wrapText="1"/>
    </xf>
    <xf numFmtId="0" fontId="2" fillId="2" borderId="2" xfId="0" applyFont="1" applyFill="1" applyBorder="1" applyAlignment="1" applyProtection="1">
      <alignment vertical="center" wrapText="1"/>
    </xf>
    <xf numFmtId="0" fontId="0" fillId="2" borderId="2" xfId="0" applyFont="1" applyFill="1" applyBorder="1" applyAlignment="1" applyProtection="1">
      <alignment horizontal="center" wrapText="1"/>
    </xf>
    <xf numFmtId="0" fontId="6" fillId="3" borderId="5" xfId="0" applyNumberFormat="1" applyFont="1" applyFill="1" applyBorder="1" applyAlignment="1" applyProtection="1">
      <alignment horizontal="left" vertical="center" wrapText="1"/>
    </xf>
    <xf numFmtId="1" fontId="6" fillId="3" borderId="6" xfId="0" applyNumberFormat="1" applyFont="1" applyFill="1" applyBorder="1" applyAlignment="1" applyProtection="1">
      <alignment vertical="center"/>
    </xf>
    <xf numFmtId="1" fontId="2" fillId="3" borderId="6" xfId="0" applyNumberFormat="1" applyFont="1" applyFill="1" applyBorder="1" applyAlignment="1" applyProtection="1">
      <alignment horizontal="center" wrapText="1"/>
    </xf>
    <xf numFmtId="1" fontId="2" fillId="3" borderId="6" xfId="0" applyNumberFormat="1" applyFont="1" applyFill="1" applyBorder="1" applyAlignment="1" applyProtection="1">
      <alignment wrapText="1"/>
    </xf>
    <xf numFmtId="1" fontId="20" fillId="0" borderId="4" xfId="0" applyNumberFormat="1" applyFont="1" applyFill="1" applyBorder="1" applyAlignment="1" applyProtection="1">
      <alignment horizontal="left" vertical="center" wrapText="1"/>
    </xf>
    <xf numFmtId="49" fontId="7" fillId="4" borderId="6" xfId="0" applyNumberFormat="1" applyFont="1" applyFill="1" applyBorder="1" applyAlignment="1" applyProtection="1">
      <alignment horizontal="left" vertical="center" wrapText="1"/>
    </xf>
    <xf numFmtId="0" fontId="7" fillId="2" borderId="0" xfId="0" applyFont="1" applyFill="1" applyAlignment="1" applyProtection="1">
      <alignment horizontal="left" vertical="center" wrapText="1"/>
    </xf>
    <xf numFmtId="0" fontId="37" fillId="4" borderId="3" xfId="0" applyFont="1" applyFill="1" applyBorder="1" applyAlignment="1" applyProtection="1">
      <alignment horizontal="center" vertical="center" wrapText="1"/>
    </xf>
    <xf numFmtId="49" fontId="5" fillId="2" borderId="7" xfId="0" applyNumberFormat="1" applyFont="1" applyFill="1" applyBorder="1" applyAlignment="1" applyProtection="1">
      <alignment vertical="center" wrapText="1"/>
    </xf>
    <xf numFmtId="49" fontId="6" fillId="3" borderId="7" xfId="0" applyNumberFormat="1" applyFont="1" applyFill="1" applyBorder="1" applyAlignment="1" applyProtection="1">
      <alignment vertical="center" wrapText="1"/>
    </xf>
    <xf numFmtId="1" fontId="6" fillId="3" borderId="8" xfId="0" applyNumberFormat="1" applyFont="1" applyFill="1" applyBorder="1" applyAlignment="1" applyProtection="1">
      <alignment vertical="center"/>
    </xf>
    <xf numFmtId="1" fontId="2" fillId="3" borderId="8" xfId="0" applyNumberFormat="1" applyFont="1" applyFill="1" applyBorder="1" applyAlignment="1" applyProtection="1">
      <alignment horizontal="center" wrapText="1"/>
    </xf>
    <xf numFmtId="1" fontId="2" fillId="3" borderId="8" xfId="0" applyNumberFormat="1" applyFont="1" applyFill="1" applyBorder="1" applyAlignment="1" applyProtection="1">
      <alignment wrapText="1"/>
    </xf>
    <xf numFmtId="1" fontId="20" fillId="2" borderId="8" xfId="0" applyNumberFormat="1" applyFont="1" applyFill="1" applyBorder="1" applyAlignment="1" applyProtection="1">
      <alignment vertical="center" wrapText="1"/>
    </xf>
    <xf numFmtId="0" fontId="2" fillId="5" borderId="6" xfId="0" applyFont="1" applyFill="1" applyBorder="1" applyAlignment="1" applyProtection="1">
      <alignment vertical="center"/>
    </xf>
    <xf numFmtId="0" fontId="5" fillId="5" borderId="6" xfId="0" applyFont="1" applyFill="1" applyBorder="1" applyAlignment="1" applyProtection="1">
      <alignment wrapText="1"/>
    </xf>
    <xf numFmtId="0" fontId="0" fillId="4" borderId="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9" xfId="0" applyFill="1" applyBorder="1" applyAlignment="1" applyProtection="1">
      <alignment horizontal="left" vertical="center" wrapText="1"/>
    </xf>
    <xf numFmtId="0" fontId="0" fillId="5" borderId="6" xfId="0" applyFont="1" applyFill="1" applyBorder="1" applyAlignment="1" applyProtection="1">
      <alignment horizontal="center" wrapText="1"/>
    </xf>
    <xf numFmtId="0" fontId="39" fillId="0" borderId="6" xfId="0" applyFont="1" applyFill="1" applyBorder="1" applyAlignment="1" applyProtection="1">
      <alignment horizontal="center" vertical="center" wrapText="1"/>
    </xf>
    <xf numFmtId="49" fontId="7" fillId="4" borderId="9" xfId="0" applyNumberFormat="1" applyFont="1" applyFill="1" applyBorder="1" applyAlignment="1" applyProtection="1">
      <alignment vertical="center" wrapText="1"/>
    </xf>
    <xf numFmtId="0" fontId="7" fillId="4" borderId="3"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0" borderId="0" xfId="0" applyFont="1" applyAlignment="1" applyProtection="1">
      <alignment wrapText="1"/>
    </xf>
    <xf numFmtId="0" fontId="7" fillId="4" borderId="0" xfId="0" applyFont="1" applyFill="1" applyBorder="1" applyAlignment="1" applyProtection="1">
      <alignment vertical="center" wrapText="1"/>
    </xf>
    <xf numFmtId="49" fontId="6" fillId="3" borderId="5" xfId="0" applyNumberFormat="1" applyFont="1" applyFill="1" applyBorder="1" applyAlignment="1" applyProtection="1">
      <alignment vertical="center" wrapText="1"/>
    </xf>
    <xf numFmtId="1" fontId="20" fillId="0" borderId="4" xfId="0" applyNumberFormat="1" applyFont="1" applyFill="1" applyBorder="1" applyAlignment="1" applyProtection="1">
      <alignment vertical="center" wrapText="1"/>
    </xf>
    <xf numFmtId="49" fontId="7" fillId="4" borderId="7" xfId="0" applyNumberFormat="1" applyFont="1" applyFill="1" applyBorder="1" applyAlignment="1" applyProtection="1">
      <alignment horizontal="left" vertical="center" wrapText="1"/>
    </xf>
    <xf numFmtId="0" fontId="7" fillId="2" borderId="0" xfId="0" applyFont="1" applyFill="1" applyAlignment="1" applyProtection="1"/>
    <xf numFmtId="49" fontId="7" fillId="4" borderId="9" xfId="0" applyNumberFormat="1" applyFont="1" applyFill="1" applyBorder="1" applyAlignment="1" applyProtection="1">
      <alignment horizontal="left" vertical="center" wrapText="1"/>
    </xf>
    <xf numFmtId="0" fontId="0" fillId="4" borderId="9" xfId="0" applyFill="1" applyBorder="1" applyAlignment="1" applyProtection="1">
      <alignment vertical="center" wrapText="1"/>
    </xf>
    <xf numFmtId="49" fontId="7" fillId="4" borderId="1" xfId="0" applyNumberFormat="1" applyFont="1" applyFill="1" applyBorder="1" applyAlignment="1" applyProtection="1">
      <alignment horizontal="left" vertical="center" wrapText="1"/>
    </xf>
    <xf numFmtId="0" fontId="0" fillId="4" borderId="9" xfId="0" applyFill="1" applyBorder="1" applyAlignment="1" applyProtection="1">
      <alignment wrapText="1"/>
    </xf>
    <xf numFmtId="0" fontId="0" fillId="4" borderId="1" xfId="0" applyFill="1" applyBorder="1" applyAlignment="1" applyProtection="1">
      <alignment wrapText="1"/>
    </xf>
    <xf numFmtId="0" fontId="0" fillId="4" borderId="1" xfId="0" applyFill="1" applyBorder="1" applyAlignment="1" applyProtection="1">
      <alignment vertical="center" wrapText="1"/>
    </xf>
    <xf numFmtId="0" fontId="19" fillId="2" borderId="0" xfId="0" applyFont="1" applyFill="1" applyAlignment="1" applyProtection="1">
      <alignment vertical="center" wrapText="1"/>
    </xf>
    <xf numFmtId="49" fontId="7" fillId="4" borderId="49" xfId="0" applyNumberFormat="1" applyFont="1" applyFill="1" applyBorder="1" applyAlignment="1" applyProtection="1">
      <alignment vertical="center" wrapText="1"/>
    </xf>
    <xf numFmtId="0" fontId="7" fillId="4" borderId="49" xfId="0" applyFont="1" applyFill="1" applyBorder="1" applyAlignment="1" applyProtection="1">
      <alignment horizontal="left" vertical="center" wrapText="1"/>
    </xf>
    <xf numFmtId="0" fontId="7" fillId="4"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 fillId="0" borderId="0" xfId="0" applyFont="1" applyAlignment="1" applyProtection="1">
      <alignment vertical="center" wrapText="1"/>
    </xf>
    <xf numFmtId="0" fontId="0" fillId="0" borderId="0" xfId="0" applyFont="1" applyAlignment="1" applyProtection="1">
      <alignment vertical="center" wrapText="1"/>
    </xf>
    <xf numFmtId="0" fontId="55" fillId="2" borderId="0" xfId="0" applyFont="1" applyFill="1" applyAlignment="1" applyProtection="1">
      <alignment vertical="top" wrapText="1"/>
    </xf>
    <xf numFmtId="0" fontId="7" fillId="2" borderId="0" xfId="0" applyFont="1" applyFill="1" applyAlignment="1" applyProtection="1">
      <alignment horizontal="left" wrapText="1"/>
    </xf>
    <xf numFmtId="166" fontId="7" fillId="2" borderId="0" xfId="0" applyNumberFormat="1" applyFont="1" applyFill="1" applyAlignment="1" applyProtection="1"/>
    <xf numFmtId="166" fontId="7" fillId="2" borderId="0" xfId="0" applyNumberFormat="1" applyFont="1" applyFill="1" applyAlignment="1" applyProtection="1">
      <alignment horizontal="left" vertical="center"/>
    </xf>
    <xf numFmtId="0" fontId="7" fillId="2" borderId="0" xfId="0" applyFont="1" applyFill="1" applyAlignment="1" applyProtection="1">
      <alignment vertical="center"/>
    </xf>
    <xf numFmtId="0" fontId="19" fillId="2" borderId="0" xfId="0" applyFont="1" applyFill="1" applyAlignment="1" applyProtection="1">
      <alignment wrapText="1"/>
    </xf>
    <xf numFmtId="0" fontId="0" fillId="5" borderId="6" xfId="0" applyFont="1" applyFill="1" applyBorder="1" applyAlignment="1" applyProtection="1">
      <alignment horizontal="center" wrapText="1"/>
      <protection locked="0"/>
    </xf>
    <xf numFmtId="0" fontId="0" fillId="2" borderId="2" xfId="0" applyFont="1" applyFill="1" applyBorder="1" applyAlignment="1" applyProtection="1">
      <alignment horizontal="center" vertical="center" wrapText="1"/>
      <protection locked="0"/>
    </xf>
    <xf numFmtId="0" fontId="0" fillId="11" borderId="0" xfId="0" applyFill="1" applyProtection="1"/>
    <xf numFmtId="0" fontId="48" fillId="11" borderId="0" xfId="0" applyFont="1" applyFill="1" applyAlignment="1" applyProtection="1">
      <alignment horizontal="right" vertical="top"/>
    </xf>
    <xf numFmtId="0" fontId="0" fillId="11" borderId="0" xfId="0" applyFill="1" applyAlignment="1" applyProtection="1">
      <alignment horizontal="right" vertical="center"/>
    </xf>
    <xf numFmtId="0" fontId="0" fillId="2" borderId="10" xfId="0" applyFill="1" applyBorder="1" applyAlignment="1" applyProtection="1"/>
    <xf numFmtId="0" fontId="0" fillId="2" borderId="0" xfId="0" applyFill="1" applyProtection="1"/>
    <xf numFmtId="0" fontId="0" fillId="0" borderId="0" xfId="0" applyProtection="1"/>
    <xf numFmtId="1" fontId="6" fillId="2" borderId="25" xfId="0" applyNumberFormat="1" applyFont="1" applyFill="1" applyBorder="1" applyAlignment="1" applyProtection="1">
      <alignment vertical="center"/>
    </xf>
    <xf numFmtId="0" fontId="0" fillId="2" borderId="24" xfId="0" applyFill="1" applyBorder="1" applyAlignment="1" applyProtection="1">
      <alignment horizontal="left" vertical="center"/>
    </xf>
    <xf numFmtId="0" fontId="0" fillId="2" borderId="25" xfId="0" applyFill="1" applyBorder="1" applyAlignment="1" applyProtection="1">
      <alignment horizontal="left" vertical="center"/>
    </xf>
    <xf numFmtId="0" fontId="0" fillId="2" borderId="12" xfId="0" applyFill="1" applyBorder="1" applyAlignment="1" applyProtection="1">
      <alignment horizontal="left" vertical="center"/>
    </xf>
    <xf numFmtId="0" fontId="0" fillId="2" borderId="13" xfId="0" applyFill="1" applyBorder="1" applyAlignment="1" applyProtection="1"/>
    <xf numFmtId="0" fontId="3" fillId="2" borderId="13" xfId="0" applyFont="1" applyFill="1" applyBorder="1" applyAlignment="1" applyProtection="1"/>
    <xf numFmtId="0" fontId="0" fillId="2" borderId="10" xfId="0" applyFill="1" applyBorder="1" applyProtection="1"/>
    <xf numFmtId="0" fontId="0" fillId="2" borderId="0" xfId="0" applyFill="1" applyBorder="1" applyProtection="1"/>
    <xf numFmtId="0" fontId="51" fillId="14" borderId="0" xfId="2" applyFont="1" applyFill="1" applyAlignment="1" applyProtection="1">
      <protection hidden="1"/>
    </xf>
    <xf numFmtId="2" fontId="0" fillId="11" borderId="0" xfId="0" applyNumberFormat="1" applyFill="1" applyProtection="1"/>
    <xf numFmtId="0" fontId="7" fillId="11" borderId="0" xfId="0" applyFont="1" applyFill="1" applyProtection="1"/>
    <xf numFmtId="3" fontId="0" fillId="11" borderId="0" xfId="0" applyNumberFormat="1" applyFill="1" applyProtection="1"/>
    <xf numFmtId="0" fontId="0" fillId="14" borderId="57" xfId="0" applyFill="1" applyBorder="1" applyProtection="1"/>
    <xf numFmtId="0" fontId="40" fillId="2" borderId="0" xfId="0" applyFont="1" applyFill="1" applyProtection="1"/>
    <xf numFmtId="0" fontId="41" fillId="11" borderId="0" xfId="0" applyFont="1" applyFill="1" applyProtection="1"/>
    <xf numFmtId="0" fontId="41" fillId="0" borderId="0" xfId="0" applyFont="1" applyProtection="1"/>
    <xf numFmtId="0" fontId="5" fillId="2" borderId="0" xfId="0" applyFont="1" applyFill="1" applyProtection="1"/>
    <xf numFmtId="0" fontId="0" fillId="2" borderId="0" xfId="0" applyFill="1" applyAlignment="1" applyProtection="1">
      <alignment vertical="center"/>
    </xf>
    <xf numFmtId="49" fontId="11" fillId="4" borderId="7" xfId="0" applyNumberFormat="1" applyFont="1" applyFill="1" applyBorder="1" applyAlignment="1" applyProtection="1">
      <alignment vertical="center" wrapText="1"/>
    </xf>
    <xf numFmtId="0" fontId="7" fillId="4" borderId="3" xfId="0" applyFont="1" applyFill="1" applyBorder="1" applyAlignment="1" applyProtection="1">
      <alignment horizontal="left" vertical="center" wrapText="1"/>
    </xf>
    <xf numFmtId="0" fontId="0" fillId="0" borderId="0" xfId="0" applyFont="1" applyAlignment="1" applyProtection="1">
      <alignment vertical="center"/>
    </xf>
    <xf numFmtId="49" fontId="7" fillId="4" borderId="7" xfId="0" applyNumberFormat="1" applyFont="1" applyFill="1" applyBorder="1" applyAlignment="1" applyProtection="1">
      <alignment vertical="center" wrapText="1"/>
    </xf>
    <xf numFmtId="0" fontId="7" fillId="4" borderId="4" xfId="0" applyFont="1" applyFill="1" applyBorder="1" applyAlignment="1" applyProtection="1">
      <alignment horizontal="left" vertical="center" wrapText="1" indent="1"/>
    </xf>
    <xf numFmtId="0" fontId="0" fillId="2" borderId="0" xfId="0" applyFont="1" applyFill="1" applyAlignment="1" applyProtection="1">
      <alignment vertical="center"/>
    </xf>
    <xf numFmtId="0" fontId="7" fillId="4" borderId="4" xfId="0" applyFont="1" applyFill="1" applyBorder="1" applyAlignment="1" applyProtection="1">
      <alignment horizontal="left" vertical="center" wrapText="1" indent="2"/>
    </xf>
    <xf numFmtId="49" fontId="7" fillId="2" borderId="7" xfId="0" applyNumberFormat="1" applyFont="1" applyFill="1" applyBorder="1" applyAlignment="1" applyProtection="1">
      <alignment vertical="center" wrapText="1"/>
    </xf>
    <xf numFmtId="0" fontId="7" fillId="2" borderId="4" xfId="0" applyFont="1" applyFill="1" applyBorder="1" applyAlignment="1" applyProtection="1">
      <alignment horizontal="left" vertical="center" wrapText="1" indent="1"/>
    </xf>
    <xf numFmtId="0" fontId="0" fillId="2" borderId="3" xfId="0" applyFont="1" applyFill="1" applyBorder="1" applyAlignment="1" applyProtection="1">
      <alignment horizontal="center" vertical="center" wrapText="1"/>
      <protection hidden="1"/>
    </xf>
    <xf numFmtId="0" fontId="0" fillId="0" borderId="0" xfId="0" applyFont="1" applyProtection="1"/>
    <xf numFmtId="0" fontId="0" fillId="0" borderId="0" xfId="0" applyAlignment="1" applyProtection="1">
      <alignment vertical="center"/>
    </xf>
    <xf numFmtId="49" fontId="2" fillId="0" borderId="7" xfId="0" applyNumberFormat="1" applyFont="1" applyFill="1" applyBorder="1" applyAlignment="1" applyProtection="1">
      <alignment vertical="center" wrapText="1"/>
    </xf>
    <xf numFmtId="0" fontId="7" fillId="0" borderId="4" xfId="0" applyFont="1" applyFill="1" applyBorder="1" applyAlignment="1" applyProtection="1">
      <alignment horizontal="left" vertical="center" wrapText="1" indent="1"/>
    </xf>
    <xf numFmtId="0" fontId="0" fillId="0" borderId="3" xfId="0" applyFont="1" applyFill="1" applyBorder="1" applyAlignment="1" applyProtection="1">
      <alignment horizontal="center" vertical="center" wrapText="1"/>
      <protection hidden="1"/>
    </xf>
    <xf numFmtId="0" fontId="0" fillId="0" borderId="60" xfId="0" applyFont="1" applyBorder="1" applyAlignment="1" applyProtection="1">
      <alignment vertical="center"/>
    </xf>
    <xf numFmtId="49" fontId="13" fillId="4" borderId="7" xfId="0" applyNumberFormat="1" applyFont="1" applyFill="1" applyBorder="1" applyAlignment="1" applyProtection="1">
      <alignment vertical="center" wrapText="1"/>
    </xf>
    <xf numFmtId="0" fontId="7" fillId="2" borderId="0" xfId="0" applyFont="1" applyFill="1" applyProtection="1"/>
    <xf numFmtId="0" fontId="7" fillId="0" borderId="0" xfId="0" applyFont="1" applyProtection="1"/>
    <xf numFmtId="0" fontId="55" fillId="2" borderId="0" xfId="0" applyFont="1" applyFill="1" applyProtection="1"/>
    <xf numFmtId="0" fontId="55" fillId="2" borderId="0" xfId="0" applyFont="1" applyFill="1" applyAlignment="1" applyProtection="1">
      <alignment horizontal="left" vertical="top"/>
    </xf>
    <xf numFmtId="0" fontId="5" fillId="2" borderId="44" xfId="0" applyFont="1" applyFill="1" applyBorder="1" applyProtection="1"/>
    <xf numFmtId="0" fontId="7" fillId="2" borderId="44" xfId="0" applyFont="1" applyFill="1" applyBorder="1" applyProtection="1"/>
    <xf numFmtId="0" fontId="7" fillId="0" borderId="44" xfId="0" applyFont="1" applyBorder="1" applyProtection="1"/>
    <xf numFmtId="0" fontId="19" fillId="2" borderId="0" xfId="0" applyFont="1" applyFill="1" applyProtection="1"/>
    <xf numFmtId="0" fontId="4" fillId="2" borderId="0" xfId="0" applyFont="1" applyFill="1" applyProtection="1"/>
    <xf numFmtId="1" fontId="0" fillId="2" borderId="0" xfId="0" applyNumberFormat="1" applyFill="1" applyProtection="1"/>
    <xf numFmtId="1" fontId="6" fillId="3" borderId="4" xfId="0" applyNumberFormat="1" applyFont="1" applyFill="1" applyBorder="1" applyAlignment="1" applyProtection="1">
      <alignment vertical="center"/>
      <protection locked="0" hidden="1"/>
    </xf>
    <xf numFmtId="0" fontId="7" fillId="2" borderId="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2" borderId="0" xfId="0" applyFill="1" applyAlignment="1" applyProtection="1">
      <alignment horizontal="left"/>
      <protection locked="0"/>
    </xf>
    <xf numFmtId="1" fontId="6" fillId="3" borderId="4" xfId="0" applyNumberFormat="1" applyFont="1" applyFill="1" applyBorder="1" applyAlignment="1" applyProtection="1">
      <alignment horizontal="left" vertical="center"/>
      <protection locked="0"/>
    </xf>
    <xf numFmtId="0" fontId="0" fillId="2" borderId="0" xfId="0" applyFont="1" applyFill="1" applyProtection="1">
      <protection hidden="1"/>
    </xf>
    <xf numFmtId="0" fontId="0" fillId="0" borderId="0" xfId="0" applyFont="1" applyProtection="1">
      <protection hidden="1"/>
    </xf>
    <xf numFmtId="0" fontId="43" fillId="2" borderId="23" xfId="3" applyFont="1" applyFill="1" applyBorder="1" applyAlignment="1" applyProtection="1">
      <alignment vertical="center"/>
      <protection hidden="1"/>
    </xf>
    <xf numFmtId="0" fontId="0" fillId="0" borderId="0" xfId="0" applyFont="1" applyAlignment="1" applyProtection="1">
      <alignment wrapText="1"/>
      <protection hidden="1"/>
    </xf>
    <xf numFmtId="1" fontId="11" fillId="2" borderId="26" xfId="0" applyNumberFormat="1" applyFont="1" applyFill="1" applyBorder="1" applyProtection="1">
      <protection hidden="1"/>
    </xf>
    <xf numFmtId="0" fontId="0" fillId="2" borderId="14" xfId="0" applyFont="1" applyFill="1" applyBorder="1" applyProtection="1">
      <protection hidden="1"/>
    </xf>
    <xf numFmtId="1" fontId="11" fillId="2" borderId="0" xfId="0" applyNumberFormat="1" applyFont="1" applyFill="1" applyBorder="1" applyProtection="1">
      <protection hidden="1"/>
    </xf>
    <xf numFmtId="0" fontId="0" fillId="2" borderId="0" xfId="0" applyFont="1" applyFill="1" applyBorder="1" applyProtection="1">
      <protection hidden="1"/>
    </xf>
    <xf numFmtId="1" fontId="6" fillId="7" borderId="20" xfId="0" applyNumberFormat="1" applyFont="1" applyFill="1" applyBorder="1" applyAlignment="1" applyProtection="1">
      <alignment horizontal="center" vertical="center"/>
      <protection hidden="1"/>
    </xf>
    <xf numFmtId="1" fontId="6" fillId="7" borderId="20" xfId="0" applyNumberFormat="1" applyFont="1" applyFill="1" applyBorder="1" applyAlignment="1" applyProtection="1">
      <alignment horizontal="center" vertical="center" wrapText="1"/>
      <protection hidden="1"/>
    </xf>
    <xf numFmtId="1" fontId="17" fillId="2" borderId="0" xfId="0" applyNumberFormat="1"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center"/>
      <protection hidden="1"/>
    </xf>
    <xf numFmtId="2" fontId="0" fillId="0" borderId="0" xfId="0" applyNumberFormat="1" applyFont="1" applyProtection="1">
      <protection hidden="1"/>
    </xf>
    <xf numFmtId="1" fontId="11" fillId="2" borderId="61" xfId="0" applyNumberFormat="1" applyFont="1" applyFill="1" applyBorder="1" applyProtection="1">
      <protection hidden="1"/>
    </xf>
    <xf numFmtId="1" fontId="44" fillId="7" borderId="20" xfId="0" applyNumberFormat="1" applyFont="1" applyFill="1" applyBorder="1" applyAlignment="1" applyProtection="1">
      <alignment horizontal="center" vertical="top"/>
      <protection hidden="1"/>
    </xf>
    <xf numFmtId="3" fontId="7" fillId="2" borderId="20" xfId="0" applyNumberFormat="1" applyFont="1" applyFill="1" applyBorder="1" applyAlignment="1" applyProtection="1">
      <alignment horizontal="right" vertical="center" indent="2"/>
      <protection hidden="1"/>
    </xf>
    <xf numFmtId="1" fontId="44" fillId="7" borderId="22" xfId="0" applyNumberFormat="1" applyFont="1" applyFill="1" applyBorder="1" applyAlignment="1" applyProtection="1">
      <alignment horizontal="center" vertical="top"/>
      <protection hidden="1"/>
    </xf>
    <xf numFmtId="1" fontId="44" fillId="7" borderId="52" xfId="0" applyNumberFormat="1" applyFont="1" applyFill="1" applyBorder="1" applyAlignment="1" applyProtection="1">
      <alignment horizontal="center" vertical="top"/>
      <protection hidden="1"/>
    </xf>
    <xf numFmtId="9" fontId="16" fillId="2" borderId="20" xfId="1" applyNumberFormat="1" applyFont="1" applyFill="1" applyBorder="1" applyAlignment="1" applyProtection="1">
      <alignment horizontal="right" vertical="center" indent="1"/>
      <protection hidden="1"/>
    </xf>
    <xf numFmtId="3" fontId="7" fillId="2" borderId="20" xfId="1" applyNumberFormat="1" applyFont="1" applyFill="1" applyBorder="1" applyAlignment="1" applyProtection="1">
      <alignment horizontal="right" vertical="center" indent="1"/>
      <protection hidden="1"/>
    </xf>
    <xf numFmtId="9" fontId="7" fillId="2" borderId="20" xfId="1" applyNumberFormat="1" applyFont="1" applyFill="1" applyBorder="1" applyAlignment="1" applyProtection="1">
      <alignment horizontal="right" vertical="center" indent="1"/>
      <protection hidden="1"/>
    </xf>
    <xf numFmtId="2" fontId="7" fillId="2" borderId="20" xfId="1" applyNumberFormat="1" applyFont="1" applyFill="1" applyBorder="1" applyAlignment="1" applyProtection="1">
      <alignment horizontal="right" vertical="center" indent="1"/>
      <protection hidden="1"/>
    </xf>
    <xf numFmtId="49" fontId="44" fillId="2" borderId="0" xfId="0" applyNumberFormat="1" applyFont="1" applyFill="1" applyBorder="1" applyAlignment="1" applyProtection="1">
      <alignment horizontal="center" vertical="center" wrapText="1"/>
      <protection hidden="1"/>
    </xf>
    <xf numFmtId="3" fontId="18" fillId="2" borderId="0" xfId="1" applyNumberFormat="1" applyFont="1" applyFill="1" applyBorder="1" applyAlignment="1" applyProtection="1">
      <alignment horizontal="right"/>
      <protection hidden="1"/>
    </xf>
    <xf numFmtId="1" fontId="2" fillId="7" borderId="20" xfId="0" applyNumberFormat="1" applyFont="1" applyFill="1" applyBorder="1" applyAlignment="1" applyProtection="1">
      <alignment vertical="top"/>
      <protection hidden="1"/>
    </xf>
    <xf numFmtId="14" fontId="0" fillId="2" borderId="0" xfId="0" applyNumberFormat="1" applyFont="1" applyFill="1" applyAlignment="1" applyProtection="1">
      <alignment horizontal="center"/>
      <protection hidden="1"/>
    </xf>
    <xf numFmtId="0" fontId="0" fillId="17" borderId="0" xfId="0" applyFill="1" applyProtection="1"/>
    <xf numFmtId="0" fontId="0" fillId="16" borderId="0" xfId="0" applyFill="1" applyProtection="1"/>
    <xf numFmtId="14" fontId="0" fillId="16" borderId="0" xfId="0" applyNumberFormat="1" applyFill="1" applyProtection="1"/>
    <xf numFmtId="0" fontId="0" fillId="15" borderId="0" xfId="0" applyFill="1" applyAlignment="1" applyProtection="1">
      <alignment vertical="top" wrapText="1"/>
    </xf>
    <xf numFmtId="2" fontId="0" fillId="0" borderId="0" xfId="0" applyNumberFormat="1" applyProtection="1"/>
    <xf numFmtId="44" fontId="0" fillId="0" borderId="0" xfId="0" applyNumberFormat="1" applyProtection="1"/>
    <xf numFmtId="3" fontId="0" fillId="0" borderId="0" xfId="0" applyNumberFormat="1" applyProtection="1"/>
    <xf numFmtId="1" fontId="0" fillId="0" borderId="0" xfId="0" applyNumberFormat="1" applyProtection="1"/>
    <xf numFmtId="9" fontId="0" fillId="0" borderId="0" xfId="0" applyNumberFormat="1" applyProtection="1"/>
    <xf numFmtId="0" fontId="0" fillId="4" borderId="0" xfId="0" applyFill="1" applyProtection="1"/>
    <xf numFmtId="170" fontId="0" fillId="21" borderId="0" xfId="0" applyNumberFormat="1" applyFill="1" applyProtection="1">
      <protection locked="0"/>
    </xf>
    <xf numFmtId="0" fontId="0" fillId="4" borderId="0" xfId="0" applyFill="1" applyProtection="1">
      <protection locked="0"/>
    </xf>
    <xf numFmtId="0" fontId="7" fillId="4" borderId="7" xfId="0" applyFont="1" applyFill="1" applyBorder="1" applyAlignment="1" applyProtection="1">
      <alignment vertical="center" wrapText="1"/>
    </xf>
    <xf numFmtId="1" fontId="6" fillId="14" borderId="8" xfId="0" applyNumberFormat="1" applyFont="1" applyFill="1" applyBorder="1" applyAlignment="1" applyProtection="1">
      <alignment vertical="center"/>
      <protection hidden="1"/>
    </xf>
    <xf numFmtId="1" fontId="6" fillId="14" borderId="25" xfId="0" applyNumberFormat="1" applyFont="1" applyFill="1" applyBorder="1" applyAlignment="1" applyProtection="1">
      <alignment vertical="center"/>
      <protection hidden="1"/>
    </xf>
    <xf numFmtId="1" fontId="6" fillId="14" borderId="25" xfId="0" applyNumberFormat="1" applyFont="1" applyFill="1" applyBorder="1" applyAlignment="1" applyProtection="1">
      <alignment horizontal="left" vertical="top"/>
      <protection hidden="1"/>
    </xf>
    <xf numFmtId="9" fontId="13" fillId="2" borderId="0" xfId="0" applyNumberFormat="1" applyFont="1" applyFill="1" applyAlignment="1" applyProtection="1">
      <alignment horizontal="left"/>
    </xf>
    <xf numFmtId="0" fontId="37" fillId="2" borderId="0" xfId="0" applyFont="1" applyFill="1" applyAlignment="1" applyProtection="1">
      <alignment horizontal="left"/>
    </xf>
    <xf numFmtId="1" fontId="45" fillId="2" borderId="0" xfId="0" applyNumberFormat="1" applyFont="1" applyFill="1" applyBorder="1" applyAlignment="1" applyProtection="1">
      <alignment horizontal="left" vertical="center" wrapText="1"/>
      <protection hidden="1"/>
    </xf>
    <xf numFmtId="0" fontId="46" fillId="2" borderId="0" xfId="0" applyNumberFormat="1" applyFont="1" applyFill="1" applyBorder="1" applyAlignment="1" applyProtection="1">
      <alignment vertical="center" wrapText="1"/>
      <protection hidden="1"/>
    </xf>
    <xf numFmtId="0" fontId="17" fillId="2" borderId="0" xfId="1" applyNumberFormat="1" applyFont="1" applyFill="1" applyBorder="1" applyAlignment="1" applyProtection="1">
      <alignment horizontal="left" vertical="center" wrapText="1"/>
      <protection hidden="1"/>
    </xf>
    <xf numFmtId="3" fontId="7" fillId="2" borderId="21" xfId="1" applyNumberFormat="1" applyFont="1" applyFill="1" applyBorder="1" applyAlignment="1" applyProtection="1">
      <alignment horizontal="right" vertical="center" wrapText="1"/>
      <protection hidden="1"/>
    </xf>
    <xf numFmtId="3" fontId="7" fillId="2" borderId="52" xfId="1" applyNumberFormat="1" applyFont="1" applyFill="1" applyBorder="1" applyAlignment="1" applyProtection="1">
      <alignment vertical="center" wrapText="1"/>
      <protection hidden="1"/>
    </xf>
    <xf numFmtId="3" fontId="7" fillId="2" borderId="21" xfId="1" applyNumberFormat="1" applyFont="1" applyFill="1" applyBorder="1" applyAlignment="1" applyProtection="1">
      <alignment vertical="center" wrapText="1"/>
      <protection hidden="1"/>
    </xf>
    <xf numFmtId="165" fontId="7" fillId="2" borderId="21" xfId="1" applyNumberFormat="1" applyFont="1" applyFill="1" applyBorder="1" applyAlignment="1" applyProtection="1">
      <alignment vertical="center" wrapText="1"/>
      <protection hidden="1"/>
    </xf>
    <xf numFmtId="168" fontId="7" fillId="2" borderId="52" xfId="1" applyNumberFormat="1" applyFont="1" applyFill="1" applyBorder="1" applyAlignment="1" applyProtection="1">
      <alignment horizontal="left" vertical="center" wrapText="1"/>
      <protection hidden="1"/>
    </xf>
    <xf numFmtId="0" fontId="53" fillId="2" borderId="0" xfId="0" applyFont="1" applyFill="1" applyAlignment="1" applyProtection="1">
      <alignment horizontal="left" vertical="top" wrapText="1"/>
    </xf>
    <xf numFmtId="0" fontId="46" fillId="2" borderId="0" xfId="1" applyNumberFormat="1" applyFont="1" applyFill="1" applyBorder="1" applyAlignment="1" applyProtection="1">
      <alignment vertical="center" wrapText="1"/>
      <protection hidden="1"/>
    </xf>
    <xf numFmtId="0" fontId="0" fillId="2" borderId="0" xfId="0" applyFont="1" applyFill="1" applyAlignment="1" applyProtection="1">
      <protection hidden="1"/>
    </xf>
    <xf numFmtId="0" fontId="0" fillId="2" borderId="0" xfId="0" applyFont="1" applyFill="1" applyProtection="1">
      <protection locked="0" hidden="1"/>
    </xf>
    <xf numFmtId="0" fontId="46" fillId="2" borderId="0" xfId="0" applyNumberFormat="1" applyFont="1" applyFill="1" applyBorder="1" applyAlignment="1" applyProtection="1">
      <alignment vertical="center" wrapText="1"/>
      <protection locked="0" hidden="1"/>
    </xf>
    <xf numFmtId="0" fontId="46" fillId="2" borderId="0" xfId="1" applyNumberFormat="1" applyFont="1" applyFill="1" applyBorder="1" applyAlignment="1" applyProtection="1">
      <alignment vertical="center" wrapText="1"/>
      <protection locked="0" hidden="1"/>
    </xf>
    <xf numFmtId="0" fontId="0" fillId="2" borderId="0" xfId="0" applyFont="1" applyFill="1" applyAlignment="1" applyProtection="1">
      <alignment horizontal="righ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wrapText="1"/>
    </xf>
    <xf numFmtId="0" fontId="5" fillId="2" borderId="0" xfId="0" applyFont="1" applyFill="1" applyAlignment="1" applyProtection="1">
      <alignment horizontal="center" vertical="center"/>
      <protection hidden="1"/>
    </xf>
    <xf numFmtId="0" fontId="5" fillId="2" borderId="0" xfId="0" applyFont="1" applyFill="1" applyAlignment="1" applyProtection="1">
      <protection hidden="1"/>
    </xf>
    <xf numFmtId="0" fontId="5" fillId="2" borderId="0" xfId="0" applyFont="1" applyFill="1" applyAlignment="1" applyProtection="1"/>
    <xf numFmtId="0" fontId="5" fillId="0" borderId="0" xfId="0" applyFont="1" applyAlignment="1" applyProtection="1">
      <alignment wrapText="1"/>
    </xf>
    <xf numFmtId="0" fontId="5" fillId="2" borderId="0" xfId="0" applyFont="1" applyFill="1" applyAlignment="1" applyProtection="1">
      <alignment wrapText="1"/>
      <protection hidden="1"/>
    </xf>
    <xf numFmtId="2" fontId="5" fillId="0" borderId="10" xfId="0" applyNumberFormat="1" applyFont="1" applyBorder="1" applyProtection="1">
      <protection hidden="1"/>
    </xf>
    <xf numFmtId="2" fontId="5" fillId="11" borderId="10" xfId="0" applyNumberFormat="1" applyFont="1" applyFill="1" applyBorder="1" applyProtection="1">
      <protection hidden="1"/>
    </xf>
    <xf numFmtId="0" fontId="5" fillId="11" borderId="10" xfId="0" applyFont="1" applyFill="1" applyBorder="1" applyProtection="1"/>
    <xf numFmtId="0" fontId="5" fillId="11" borderId="54" xfId="0" applyFont="1" applyFill="1" applyBorder="1" applyProtection="1"/>
    <xf numFmtId="0" fontId="5" fillId="11" borderId="14" xfId="0" applyFont="1" applyFill="1" applyBorder="1" applyProtection="1"/>
    <xf numFmtId="0" fontId="5" fillId="0" borderId="0" xfId="0" applyFont="1" applyProtection="1">
      <protection hidden="1"/>
    </xf>
    <xf numFmtId="0" fontId="7" fillId="0" borderId="10" xfId="0" applyFont="1" applyBorder="1" applyProtection="1">
      <protection hidden="1"/>
    </xf>
    <xf numFmtId="2" fontId="19" fillId="0" borderId="10" xfId="0" applyNumberFormat="1" applyFont="1" applyBorder="1" applyProtection="1">
      <protection hidden="1"/>
    </xf>
    <xf numFmtId="2" fontId="5" fillId="11" borderId="0" xfId="0" applyNumberFormat="1" applyFont="1" applyFill="1" applyProtection="1"/>
    <xf numFmtId="4" fontId="0" fillId="0" borderId="0" xfId="0" applyNumberFormat="1"/>
    <xf numFmtId="0" fontId="7" fillId="2" borderId="10" xfId="0" applyFont="1" applyFill="1" applyBorder="1" applyProtection="1"/>
    <xf numFmtId="0" fontId="5" fillId="2" borderId="10" xfId="0" applyFont="1" applyFill="1" applyBorder="1" applyProtection="1"/>
    <xf numFmtId="0" fontId="19" fillId="2" borderId="0" xfId="0" applyFont="1" applyFill="1" applyAlignment="1" applyProtection="1">
      <alignment vertical="center" wrapText="1"/>
      <protection hidden="1"/>
    </xf>
    <xf numFmtId="0" fontId="19" fillId="2" borderId="0" xfId="0" applyFont="1" applyFill="1" applyAlignment="1" applyProtection="1">
      <alignment wrapText="1"/>
      <protection hidden="1"/>
    </xf>
    <xf numFmtId="0" fontId="7" fillId="2" borderId="20" xfId="0" applyFont="1" applyFill="1" applyBorder="1" applyAlignment="1" applyProtection="1">
      <alignment horizontal="center" vertical="center"/>
      <protection hidden="1"/>
    </xf>
    <xf numFmtId="0" fontId="0" fillId="0" borderId="0" xfId="0" applyFont="1" applyAlignment="1" applyProtection="1">
      <alignment horizontal="center"/>
      <protection hidden="1"/>
    </xf>
    <xf numFmtId="0" fontId="19" fillId="0" borderId="10" xfId="0" applyFont="1" applyBorder="1" applyProtection="1"/>
    <xf numFmtId="0" fontId="19" fillId="0" borderId="10" xfId="0" applyFont="1" applyBorder="1" applyProtection="1">
      <protection hidden="1"/>
    </xf>
    <xf numFmtId="0" fontId="19" fillId="2" borderId="0" xfId="0" applyFont="1" applyFill="1" applyProtection="1">
      <protection hidden="1"/>
    </xf>
    <xf numFmtId="0" fontId="19" fillId="0" borderId="0" xfId="0" applyFont="1" applyProtection="1"/>
    <xf numFmtId="0" fontId="39" fillId="2" borderId="0" xfId="0" applyFont="1" applyFill="1" applyProtection="1"/>
    <xf numFmtId="0" fontId="7" fillId="2" borderId="0" xfId="0" applyFont="1" applyFill="1" applyBorder="1" applyProtection="1">
      <protection hidden="1"/>
    </xf>
    <xf numFmtId="0" fontId="0" fillId="11" borderId="2" xfId="0" applyFill="1" applyBorder="1" applyProtection="1">
      <protection hidden="1"/>
    </xf>
    <xf numFmtId="0" fontId="7" fillId="6" borderId="3" xfId="0" applyFont="1" applyFill="1" applyBorder="1" applyAlignment="1" applyProtection="1">
      <alignment vertical="center" wrapText="1"/>
      <protection locked="0" hidden="1"/>
    </xf>
    <xf numFmtId="3" fontId="7" fillId="11" borderId="55" xfId="0" applyNumberFormat="1" applyFont="1" applyFill="1" applyBorder="1" applyAlignment="1" applyProtection="1">
      <alignment horizontal="right" vertical="center" wrapText="1"/>
      <protection hidden="1"/>
    </xf>
    <xf numFmtId="3" fontId="7" fillId="11" borderId="3" xfId="0" applyNumberFormat="1" applyFont="1" applyFill="1" applyBorder="1" applyAlignment="1" applyProtection="1">
      <alignment horizontal="right" vertical="center" wrapText="1"/>
      <protection hidden="1"/>
    </xf>
    <xf numFmtId="3" fontId="7" fillId="11" borderId="56" xfId="0" applyNumberFormat="1" applyFont="1" applyFill="1" applyBorder="1" applyAlignment="1" applyProtection="1">
      <alignment horizontal="right" vertical="center" wrapText="1"/>
      <protection hidden="1"/>
    </xf>
    <xf numFmtId="3" fontId="7" fillId="11" borderId="0" xfId="0" applyNumberFormat="1" applyFont="1" applyFill="1" applyBorder="1" applyAlignment="1" applyProtection="1">
      <alignment horizontal="right" vertical="center" wrapText="1"/>
      <protection hidden="1"/>
    </xf>
    <xf numFmtId="44" fontId="0" fillId="6" borderId="3" xfId="4" applyFont="1" applyFill="1" applyBorder="1" applyAlignment="1" applyProtection="1">
      <alignment vertical="center"/>
      <protection locked="0"/>
    </xf>
    <xf numFmtId="0" fontId="7" fillId="22" borderId="14" xfId="0" applyFont="1" applyFill="1" applyBorder="1" applyAlignment="1" applyProtection="1">
      <alignment horizontal="center" vertical="center" wrapText="1"/>
    </xf>
    <xf numFmtId="0" fontId="0" fillId="23" borderId="14" xfId="0" applyFill="1" applyBorder="1" applyAlignment="1" applyProtection="1">
      <alignment horizontal="center" vertical="center" wrapText="1"/>
      <protection locked="0" hidden="1"/>
    </xf>
    <xf numFmtId="44" fontId="11" fillId="4" borderId="3" xfId="4" applyFont="1" applyFill="1" applyBorder="1" applyAlignment="1" applyProtection="1">
      <alignment vertical="center" wrapText="1"/>
      <protection hidden="1"/>
    </xf>
    <xf numFmtId="3" fontId="13" fillId="4" borderId="11" xfId="0" applyNumberFormat="1" applyFont="1" applyFill="1" applyBorder="1" applyAlignment="1" applyProtection="1">
      <alignment horizontal="right" vertical="center" wrapText="1"/>
      <protection hidden="1"/>
    </xf>
    <xf numFmtId="3" fontId="13" fillId="4" borderId="12" xfId="0" applyNumberFormat="1" applyFont="1" applyFill="1" applyBorder="1" applyAlignment="1" applyProtection="1">
      <alignment horizontal="right" vertical="center" wrapText="1"/>
      <protection hidden="1"/>
    </xf>
    <xf numFmtId="49" fontId="0" fillId="16" borderId="0" xfId="0" applyNumberFormat="1" applyFill="1" applyProtection="1"/>
    <xf numFmtId="49" fontId="0" fillId="16" borderId="0" xfId="0" applyNumberFormat="1" applyFill="1" applyAlignment="1" applyProtection="1">
      <alignment horizontal="left"/>
    </xf>
    <xf numFmtId="3" fontId="7" fillId="11" borderId="0" xfId="0" applyNumberFormat="1" applyFont="1" applyFill="1" applyBorder="1" applyAlignment="1" applyProtection="1">
      <alignment horizontal="right" vertical="center"/>
      <protection hidden="1"/>
    </xf>
    <xf numFmtId="49" fontId="46" fillId="2" borderId="17" xfId="0" applyNumberFormat="1" applyFont="1" applyFill="1" applyBorder="1" applyAlignment="1" applyProtection="1">
      <alignment horizontal="right" vertical="center" wrapText="1"/>
    </xf>
    <xf numFmtId="0" fontId="0" fillId="23" borderId="3" xfId="0" applyFill="1" applyBorder="1" applyProtection="1">
      <protection locked="0"/>
    </xf>
    <xf numFmtId="9" fontId="0" fillId="23" borderId="3" xfId="1" applyFont="1" applyFill="1" applyBorder="1" applyAlignment="1" applyProtection="1">
      <alignment horizontal="center" vertical="center" wrapText="1"/>
      <protection locked="0"/>
    </xf>
    <xf numFmtId="0" fontId="57" fillId="11" borderId="0" xfId="0" applyFont="1" applyFill="1" applyAlignment="1" applyProtection="1">
      <alignment horizontal="left"/>
      <protection hidden="1"/>
    </xf>
    <xf numFmtId="0" fontId="0" fillId="11" borderId="0" xfId="0" applyFill="1" applyAlignment="1" applyProtection="1">
      <alignment horizontal="left"/>
      <protection hidden="1"/>
    </xf>
    <xf numFmtId="0" fontId="41" fillId="11" borderId="0" xfId="0" applyFont="1" applyFill="1" applyProtection="1">
      <protection hidden="1"/>
    </xf>
    <xf numFmtId="0" fontId="6" fillId="3" borderId="6" xfId="0" applyFont="1" applyFill="1" applyBorder="1" applyAlignment="1" applyProtection="1">
      <alignment horizontal="left"/>
      <protection hidden="1"/>
    </xf>
    <xf numFmtId="0" fontId="6" fillId="3" borderId="6" xfId="0" applyFont="1" applyFill="1" applyBorder="1" applyProtection="1">
      <protection hidden="1"/>
    </xf>
    <xf numFmtId="0" fontId="58" fillId="22" borderId="3" xfId="0" applyFont="1" applyFill="1" applyBorder="1" applyAlignment="1" applyProtection="1">
      <alignment horizontal="left"/>
      <protection hidden="1"/>
    </xf>
    <xf numFmtId="0" fontId="0" fillId="22" borderId="3" xfId="0" applyFill="1" applyBorder="1" applyProtection="1">
      <protection hidden="1"/>
    </xf>
    <xf numFmtId="0" fontId="0" fillId="2" borderId="0" xfId="0" applyFont="1" applyFill="1" applyAlignment="1" applyProtection="1">
      <alignment vertical="center"/>
      <protection hidden="1"/>
    </xf>
    <xf numFmtId="0" fontId="7" fillId="22" borderId="3" xfId="0" applyFont="1" applyFill="1" applyBorder="1" applyAlignment="1" applyProtection="1">
      <alignment horizontal="center" vertical="center"/>
      <protection hidden="1"/>
    </xf>
    <xf numFmtId="0" fontId="0" fillId="22" borderId="3" xfId="0" applyFill="1" applyBorder="1" applyAlignment="1" applyProtection="1">
      <alignment wrapText="1"/>
      <protection hidden="1"/>
    </xf>
    <xf numFmtId="0" fontId="59" fillId="11" borderId="0" xfId="0" applyFont="1" applyFill="1" applyProtection="1">
      <protection hidden="1"/>
    </xf>
    <xf numFmtId="0" fontId="5" fillId="11" borderId="0" xfId="0" applyFont="1" applyFill="1" applyProtection="1">
      <protection hidden="1"/>
    </xf>
    <xf numFmtId="3" fontId="0" fillId="11" borderId="0" xfId="0" applyNumberFormat="1" applyFill="1" applyProtection="1">
      <protection hidden="1"/>
    </xf>
    <xf numFmtId="9" fontId="7" fillId="4" borderId="14" xfId="1" applyNumberFormat="1" applyFont="1" applyFill="1" applyBorder="1" applyAlignment="1" applyProtection="1">
      <alignment horizontal="left" vertical="center" wrapText="1"/>
      <protection hidden="1"/>
    </xf>
    <xf numFmtId="0" fontId="1" fillId="0" borderId="14" xfId="0" applyFont="1" applyBorder="1" applyAlignment="1" applyProtection="1">
      <alignment horizontal="left" vertical="center" wrapText="1"/>
    </xf>
    <xf numFmtId="9" fontId="7" fillId="4" borderId="10" xfId="1" applyNumberFormat="1" applyFont="1" applyFill="1" applyBorder="1" applyAlignment="1" applyProtection="1">
      <alignment horizontal="left" vertical="center" wrapText="1"/>
      <protection hidden="1"/>
    </xf>
    <xf numFmtId="0" fontId="0" fillId="0" borderId="10" xfId="0" applyFont="1" applyBorder="1" applyAlignment="1" applyProtection="1">
      <alignment horizontal="left" vertical="center" wrapText="1"/>
    </xf>
    <xf numFmtId="49" fontId="16" fillId="2" borderId="24" xfId="0" applyNumberFormat="1" applyFont="1" applyFill="1" applyBorder="1" applyAlignment="1" applyProtection="1">
      <alignment horizontal="left" vertical="center" wrapText="1"/>
    </xf>
    <xf numFmtId="49" fontId="16" fillId="2" borderId="25" xfId="0" applyNumberFormat="1" applyFont="1" applyFill="1" applyBorder="1" applyAlignment="1" applyProtection="1">
      <alignment horizontal="left" vertical="center" wrapText="1"/>
    </xf>
    <xf numFmtId="49" fontId="7" fillId="2" borderId="26" xfId="0" applyNumberFormat="1" applyFont="1" applyFill="1" applyBorder="1" applyAlignment="1" applyProtection="1">
      <alignment horizontal="left" vertical="top" wrapText="1"/>
    </xf>
    <xf numFmtId="49" fontId="7" fillId="2" borderId="15" xfId="0" applyNumberFormat="1" applyFont="1" applyFill="1" applyBorder="1" applyAlignment="1" applyProtection="1">
      <alignment horizontal="left" vertical="top" wrapText="1"/>
    </xf>
    <xf numFmtId="49" fontId="7" fillId="2" borderId="27" xfId="0" applyNumberFormat="1" applyFont="1" applyFill="1" applyBorder="1" applyAlignment="1" applyProtection="1">
      <alignment horizontal="left" vertical="top" wrapText="1"/>
    </xf>
    <xf numFmtId="0" fontId="0" fillId="6" borderId="11"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left" vertical="top"/>
      <protection locked="0"/>
    </xf>
    <xf numFmtId="0" fontId="0" fillId="6" borderId="11"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3" fontId="0" fillId="6" borderId="11" xfId="0" applyNumberFormat="1" applyFill="1" applyBorder="1" applyAlignment="1" applyProtection="1">
      <alignment horizontal="left" vertical="center"/>
      <protection locked="0"/>
    </xf>
    <xf numFmtId="3" fontId="0" fillId="6" borderId="17" xfId="0" applyNumberFormat="1" applyFill="1" applyBorder="1" applyAlignment="1" applyProtection="1">
      <alignment horizontal="left" vertical="center"/>
      <protection locked="0"/>
    </xf>
    <xf numFmtId="3" fontId="0" fillId="6" borderId="12" xfId="0" applyNumberFormat="1" applyFill="1" applyBorder="1" applyAlignment="1" applyProtection="1">
      <alignment horizontal="left" vertical="center"/>
      <protection locked="0"/>
    </xf>
    <xf numFmtId="2" fontId="0" fillId="6" borderId="11" xfId="0" applyNumberFormat="1" applyFill="1" applyBorder="1" applyAlignment="1" applyProtection="1">
      <alignment horizontal="left" vertical="center"/>
      <protection locked="0"/>
    </xf>
    <xf numFmtId="2" fontId="0" fillId="6" borderId="17" xfId="0" applyNumberFormat="1" applyFill="1" applyBorder="1" applyAlignment="1" applyProtection="1">
      <alignment horizontal="left" vertical="center"/>
      <protection locked="0"/>
    </xf>
    <xf numFmtId="2" fontId="0" fillId="6" borderId="12" xfId="0" applyNumberFormat="1" applyFill="1" applyBorder="1" applyAlignment="1" applyProtection="1">
      <alignment horizontal="left" vertical="center"/>
      <protection locked="0"/>
    </xf>
    <xf numFmtId="1" fontId="6" fillId="14" borderId="58" xfId="0" applyNumberFormat="1" applyFont="1" applyFill="1" applyBorder="1" applyAlignment="1" applyProtection="1">
      <alignment horizontal="left" vertical="center" wrapText="1"/>
      <protection hidden="1"/>
    </xf>
    <xf numFmtId="1" fontId="6" fillId="14" borderId="51" xfId="0" applyNumberFormat="1" applyFont="1" applyFill="1" applyBorder="1" applyAlignment="1" applyProtection="1">
      <alignment horizontal="left" vertical="center" wrapText="1"/>
      <protection hidden="1"/>
    </xf>
    <xf numFmtId="3" fontId="11" fillId="4" borderId="11" xfId="1" applyNumberFormat="1" applyFont="1" applyFill="1" applyBorder="1" applyAlignment="1" applyProtection="1">
      <alignment horizontal="right" vertical="center" wrapText="1"/>
      <protection hidden="1"/>
    </xf>
    <xf numFmtId="3" fontId="11" fillId="4" borderId="12" xfId="1" applyNumberFormat="1" applyFont="1" applyFill="1" applyBorder="1" applyAlignment="1" applyProtection="1">
      <alignment horizontal="right" vertical="center" wrapText="1"/>
      <protection hidden="1"/>
    </xf>
    <xf numFmtId="9" fontId="11" fillId="4" borderId="11" xfId="1" applyNumberFormat="1" applyFont="1" applyFill="1" applyBorder="1" applyAlignment="1" applyProtection="1">
      <alignment horizontal="right" vertical="center" wrapText="1"/>
      <protection hidden="1"/>
    </xf>
    <xf numFmtId="9" fontId="11" fillId="4" borderId="12" xfId="1" applyNumberFormat="1" applyFont="1" applyFill="1" applyBorder="1" applyAlignment="1" applyProtection="1">
      <alignment horizontal="right" vertical="center" wrapText="1"/>
      <protection hidden="1"/>
    </xf>
    <xf numFmtId="167" fontId="11" fillId="4" borderId="17" xfId="1" applyNumberFormat="1" applyFont="1" applyFill="1" applyBorder="1" applyAlignment="1" applyProtection="1">
      <alignment horizontal="right" vertical="center" wrapText="1"/>
      <protection hidden="1"/>
    </xf>
    <xf numFmtId="0" fontId="7" fillId="4" borderId="16" xfId="0" applyFont="1" applyFill="1" applyBorder="1" applyAlignment="1" applyProtection="1">
      <alignment vertical="center" wrapText="1"/>
      <protection hidden="1"/>
    </xf>
    <xf numFmtId="0" fontId="0" fillId="0" borderId="51" xfId="0" applyBorder="1" applyAlignment="1" applyProtection="1">
      <alignment vertical="center" wrapText="1"/>
    </xf>
    <xf numFmtId="9" fontId="11" fillId="4" borderId="11" xfId="1" applyFont="1" applyFill="1" applyBorder="1" applyAlignment="1" applyProtection="1">
      <alignment horizontal="right" vertical="center" wrapText="1"/>
      <protection hidden="1"/>
    </xf>
    <xf numFmtId="0" fontId="1" fillId="0" borderId="12" xfId="0" applyFont="1" applyBorder="1" applyAlignment="1" applyProtection="1">
      <alignment horizontal="right" vertical="center" wrapText="1"/>
    </xf>
    <xf numFmtId="0" fontId="0" fillId="14" borderId="59" xfId="0" applyFill="1" applyBorder="1" applyAlignment="1" applyProtection="1">
      <alignment horizontal="left"/>
    </xf>
    <xf numFmtId="1" fontId="6" fillId="7" borderId="3" xfId="0" applyNumberFormat="1" applyFont="1" applyFill="1" applyBorder="1" applyAlignment="1" applyProtection="1">
      <alignment horizontal="left" vertical="center"/>
      <protection hidden="1"/>
    </xf>
    <xf numFmtId="49" fontId="6" fillId="14" borderId="5" xfId="0" applyNumberFormat="1" applyFont="1" applyFill="1" applyBorder="1" applyAlignment="1" applyProtection="1">
      <alignment horizontal="center" vertical="center" wrapText="1"/>
      <protection hidden="1"/>
    </xf>
    <xf numFmtId="49" fontId="6" fillId="14" borderId="4" xfId="0" applyNumberFormat="1" applyFont="1" applyFill="1" applyBorder="1" applyAlignment="1" applyProtection="1">
      <alignment horizontal="center" vertical="center" wrapText="1"/>
      <protection hidden="1"/>
    </xf>
    <xf numFmtId="9" fontId="38" fillId="4" borderId="0" xfId="1" applyFont="1" applyFill="1" applyBorder="1" applyAlignment="1" applyProtection="1">
      <alignment horizontal="center" vertical="center" wrapText="1"/>
      <protection hidden="1"/>
    </xf>
    <xf numFmtId="0" fontId="7" fillId="4" borderId="6" xfId="0" applyFont="1" applyFill="1" applyBorder="1" applyAlignment="1" applyProtection="1">
      <alignment horizontal="left" vertical="center" wrapText="1"/>
      <protection hidden="1"/>
    </xf>
    <xf numFmtId="0" fontId="7" fillId="4" borderId="4" xfId="0" applyFont="1"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xf>
    <xf numFmtId="0" fontId="0" fillId="4" borderId="4" xfId="0" applyFill="1" applyBorder="1" applyAlignment="1" applyProtection="1">
      <alignment horizontal="left" vertical="center" wrapText="1"/>
    </xf>
    <xf numFmtId="0" fontId="0" fillId="4" borderId="5" xfId="0" applyFill="1" applyBorder="1" applyAlignment="1" applyProtection="1">
      <alignment vertical="center"/>
    </xf>
    <xf numFmtId="0" fontId="0" fillId="4" borderId="4" xfId="0" applyFill="1" applyBorder="1" applyAlignment="1" applyProtection="1">
      <alignment vertical="center"/>
    </xf>
    <xf numFmtId="0" fontId="4" fillId="10" borderId="5" xfId="0" applyFont="1" applyFill="1" applyBorder="1" applyAlignment="1" applyProtection="1">
      <alignment vertical="center"/>
      <protection hidden="1"/>
    </xf>
    <xf numFmtId="0" fontId="4" fillId="10" borderId="4" xfId="0" applyFont="1" applyFill="1" applyBorder="1" applyAlignment="1" applyProtection="1">
      <alignment vertical="center"/>
      <protection hidden="1"/>
    </xf>
    <xf numFmtId="1" fontId="44" fillId="3" borderId="24" xfId="0" applyNumberFormat="1" applyFont="1" applyFill="1" applyBorder="1" applyAlignment="1" applyProtection="1">
      <alignment horizontal="center" vertical="center" wrapText="1"/>
      <protection hidden="1"/>
    </xf>
    <xf numFmtId="1" fontId="44" fillId="3" borderId="57" xfId="0" applyNumberFormat="1" applyFont="1" applyFill="1" applyBorder="1" applyAlignment="1" applyProtection="1">
      <alignment horizontal="center" vertical="center" wrapText="1"/>
      <protection hidden="1"/>
    </xf>
    <xf numFmtId="1" fontId="44" fillId="3" borderId="28" xfId="0" applyNumberFormat="1" applyFont="1" applyFill="1" applyBorder="1" applyAlignment="1" applyProtection="1">
      <alignment horizontal="center" vertical="center" wrapText="1"/>
      <protection hidden="1"/>
    </xf>
    <xf numFmtId="1" fontId="44" fillId="3" borderId="65" xfId="0" applyNumberFormat="1" applyFont="1" applyFill="1" applyBorder="1" applyAlignment="1" applyProtection="1">
      <alignment horizontal="center" vertical="center" wrapText="1"/>
      <protection hidden="1"/>
    </xf>
    <xf numFmtId="1" fontId="44" fillId="3" borderId="26" xfId="0" applyNumberFormat="1" applyFont="1" applyFill="1" applyBorder="1" applyAlignment="1" applyProtection="1">
      <alignment horizontal="center" vertical="center" wrapText="1"/>
      <protection hidden="1"/>
    </xf>
    <xf numFmtId="1" fontId="44" fillId="3" borderId="27" xfId="0" applyNumberFormat="1" applyFont="1" applyFill="1" applyBorder="1" applyAlignment="1" applyProtection="1">
      <alignment horizontal="center" vertical="center" wrapText="1"/>
      <protection hidden="1"/>
    </xf>
    <xf numFmtId="1" fontId="56" fillId="3" borderId="0" xfId="0" applyNumberFormat="1" applyFont="1"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9" xfId="0" applyFill="1" applyBorder="1" applyAlignment="1" applyProtection="1">
      <alignment horizontal="left" vertical="center" wrapText="1"/>
    </xf>
    <xf numFmtId="0" fontId="7" fillId="4" borderId="7" xfId="0" applyFont="1" applyFill="1" applyBorder="1" applyAlignment="1" applyProtection="1">
      <alignment vertical="center" wrapText="1"/>
    </xf>
    <xf numFmtId="0" fontId="0" fillId="0" borderId="9" xfId="0" applyBorder="1" applyAlignment="1" applyProtection="1">
      <alignment vertical="center" wrapText="1"/>
    </xf>
    <xf numFmtId="0" fontId="0" fillId="0" borderId="1" xfId="0" applyBorder="1" applyAlignment="1" applyProtection="1">
      <alignment vertical="center" wrapText="1"/>
    </xf>
    <xf numFmtId="0" fontId="7" fillId="4" borderId="5"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7" fillId="4" borderId="5" xfId="0" applyFont="1" applyFill="1" applyBorder="1" applyAlignment="1" applyProtection="1">
      <alignment vertical="center" wrapText="1"/>
    </xf>
    <xf numFmtId="0" fontId="0" fillId="0" borderId="6" xfId="0" applyBorder="1" applyAlignment="1" applyProtection="1">
      <alignment vertical="center" wrapText="1"/>
    </xf>
    <xf numFmtId="0" fontId="0" fillId="0" borderId="4" xfId="0" applyBorder="1" applyAlignment="1" applyProtection="1">
      <alignment vertical="center" wrapText="1"/>
    </xf>
    <xf numFmtId="0" fontId="0" fillId="4" borderId="7" xfId="0"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4" xfId="0" applyBorder="1" applyAlignment="1" applyProtection="1">
      <alignment horizontal="center" vertical="center" wrapText="1"/>
    </xf>
    <xf numFmtId="1" fontId="44" fillId="3" borderId="24" xfId="0" applyNumberFormat="1" applyFont="1" applyFill="1" applyBorder="1" applyAlignment="1" applyProtection="1">
      <alignment horizontal="center" vertical="center" wrapText="1"/>
    </xf>
    <xf numFmtId="1" fontId="44" fillId="3" borderId="57" xfId="0" applyNumberFormat="1" applyFont="1" applyFill="1" applyBorder="1" applyAlignment="1" applyProtection="1">
      <alignment horizontal="center" vertical="center" wrapText="1"/>
    </xf>
    <xf numFmtId="1" fontId="44" fillId="3" borderId="28" xfId="0" applyNumberFormat="1" applyFont="1" applyFill="1" applyBorder="1" applyAlignment="1" applyProtection="1">
      <alignment horizontal="center" vertical="center" wrapText="1"/>
    </xf>
    <xf numFmtId="1" fontId="44" fillId="3" borderId="65" xfId="0" applyNumberFormat="1" applyFont="1" applyFill="1" applyBorder="1" applyAlignment="1" applyProtection="1">
      <alignment horizontal="center" vertical="center" wrapText="1"/>
    </xf>
    <xf numFmtId="1" fontId="44" fillId="3" borderId="26" xfId="0" applyNumberFormat="1" applyFont="1" applyFill="1" applyBorder="1" applyAlignment="1" applyProtection="1">
      <alignment horizontal="center" vertical="center" wrapText="1"/>
    </xf>
    <xf numFmtId="1" fontId="44" fillId="3" borderId="27" xfId="0" applyNumberFormat="1" applyFont="1" applyFill="1" applyBorder="1" applyAlignment="1" applyProtection="1">
      <alignment horizontal="center" vertical="center" wrapText="1"/>
    </xf>
    <xf numFmtId="0" fontId="7" fillId="11" borderId="0" xfId="0" applyFont="1" applyFill="1" applyBorder="1" applyAlignment="1" applyProtection="1">
      <alignment vertical="center" wrapText="1"/>
    </xf>
    <xf numFmtId="0" fontId="0" fillId="0" borderId="11" xfId="0" applyBorder="1" applyAlignment="1" applyProtection="1">
      <alignment vertical="center" wrapText="1"/>
    </xf>
    <xf numFmtId="0" fontId="0" fillId="0" borderId="17" xfId="0" applyBorder="1" applyAlignment="1" applyProtection="1">
      <alignment wrapText="1"/>
    </xf>
    <xf numFmtId="0" fontId="0" fillId="0" borderId="12" xfId="0" applyBorder="1" applyAlignment="1" applyProtection="1">
      <alignment wrapText="1"/>
    </xf>
    <xf numFmtId="0" fontId="19" fillId="0" borderId="11" xfId="0" applyFont="1" applyBorder="1" applyAlignment="1" applyProtection="1">
      <alignment vertical="center" wrapText="1"/>
    </xf>
    <xf numFmtId="0" fontId="19" fillId="0" borderId="12" xfId="0" applyFont="1" applyBorder="1" applyAlignment="1" applyProtection="1">
      <alignment wrapText="1"/>
    </xf>
    <xf numFmtId="0" fontId="19" fillId="0" borderId="11"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xf numFmtId="1" fontId="44" fillId="3" borderId="25" xfId="0" applyNumberFormat="1" applyFont="1" applyFill="1" applyBorder="1" applyAlignment="1" applyProtection="1">
      <alignment horizontal="center" vertical="center" wrapText="1"/>
      <protection hidden="1"/>
    </xf>
    <xf numFmtId="1" fontId="44" fillId="3" borderId="0" xfId="0" applyNumberFormat="1" applyFont="1" applyFill="1" applyBorder="1" applyAlignment="1" applyProtection="1">
      <alignment horizontal="center" vertical="center" wrapText="1"/>
      <protection hidden="1"/>
    </xf>
    <xf numFmtId="3" fontId="7" fillId="2" borderId="23" xfId="0" applyNumberFormat="1" applyFont="1" applyFill="1" applyBorder="1" applyAlignment="1" applyProtection="1">
      <alignment horizontal="center"/>
      <protection locked="0" hidden="1"/>
    </xf>
    <xf numFmtId="0" fontId="0" fillId="2" borderId="44" xfId="0" applyFont="1" applyFill="1" applyBorder="1" applyAlignment="1" applyProtection="1">
      <alignment horizontal="center"/>
      <protection hidden="1"/>
    </xf>
    <xf numFmtId="0" fontId="42" fillId="2" borderId="0" xfId="3" applyFont="1" applyFill="1" applyAlignment="1" applyProtection="1">
      <alignment horizontal="center" vertical="center" wrapText="1"/>
      <protection hidden="1"/>
    </xf>
    <xf numFmtId="0" fontId="43" fillId="2" borderId="0" xfId="3" applyFont="1" applyFill="1" applyBorder="1" applyAlignment="1" applyProtection="1">
      <alignment horizontal="center" vertical="center"/>
      <protection hidden="1"/>
    </xf>
    <xf numFmtId="1" fontId="18" fillId="14" borderId="28" xfId="0" applyNumberFormat="1" applyFont="1" applyFill="1" applyBorder="1" applyAlignment="1" applyProtection="1">
      <alignment horizontal="left" vertical="top" wrapText="1"/>
      <protection hidden="1"/>
    </xf>
    <xf numFmtId="1" fontId="18" fillId="14" borderId="0" xfId="0" applyNumberFormat="1" applyFont="1" applyFill="1" applyBorder="1" applyAlignment="1" applyProtection="1">
      <alignment horizontal="left" vertical="top" wrapText="1"/>
      <protection hidden="1"/>
    </xf>
    <xf numFmtId="49" fontId="7" fillId="2" borderId="21" xfId="0" applyNumberFormat="1" applyFont="1" applyFill="1" applyBorder="1" applyAlignment="1" applyProtection="1">
      <alignment horizontal="left" vertical="center" wrapText="1"/>
      <protection hidden="1"/>
    </xf>
    <xf numFmtId="49" fontId="7" fillId="2" borderId="22" xfId="0" applyNumberFormat="1" applyFont="1" applyFill="1" applyBorder="1" applyAlignment="1" applyProtection="1">
      <alignment horizontal="left" vertical="center" wrapText="1"/>
      <protection hidden="1"/>
    </xf>
    <xf numFmtId="49" fontId="7" fillId="2" borderId="52" xfId="0" applyNumberFormat="1" applyFont="1" applyFill="1" applyBorder="1" applyAlignment="1" applyProtection="1">
      <alignment horizontal="left" vertical="center" wrapText="1"/>
      <protection hidden="1"/>
    </xf>
    <xf numFmtId="49" fontId="7" fillId="2" borderId="21" xfId="0" applyNumberFormat="1" applyFont="1" applyFill="1" applyBorder="1" applyAlignment="1" applyProtection="1">
      <alignment horizontal="left" vertical="top" wrapText="1"/>
      <protection hidden="1"/>
    </xf>
    <xf numFmtId="49" fontId="7" fillId="2" borderId="22" xfId="0" applyNumberFormat="1" applyFont="1" applyFill="1" applyBorder="1" applyAlignment="1" applyProtection="1">
      <alignment horizontal="left" vertical="top" wrapText="1"/>
      <protection hidden="1"/>
    </xf>
    <xf numFmtId="49" fontId="7" fillId="2" borderId="52" xfId="0" applyNumberFormat="1" applyFont="1" applyFill="1" applyBorder="1" applyAlignment="1" applyProtection="1">
      <alignment horizontal="left" vertical="top" wrapText="1"/>
      <protection hidden="1"/>
    </xf>
    <xf numFmtId="1" fontId="6" fillId="7" borderId="21" xfId="0" applyNumberFormat="1" applyFont="1" applyFill="1" applyBorder="1" applyAlignment="1" applyProtection="1">
      <alignment horizontal="center" vertical="top"/>
      <protection hidden="1"/>
    </xf>
    <xf numFmtId="1" fontId="6" fillId="7" borderId="22" xfId="0" applyNumberFormat="1" applyFont="1" applyFill="1" applyBorder="1" applyAlignment="1" applyProtection="1">
      <alignment horizontal="center" vertical="top"/>
      <protection hidden="1"/>
    </xf>
    <xf numFmtId="1" fontId="6" fillId="7" borderId="52" xfId="0" applyNumberFormat="1" applyFont="1" applyFill="1" applyBorder="1" applyAlignment="1" applyProtection="1">
      <alignment horizontal="center" vertical="top"/>
      <protection hidden="1"/>
    </xf>
    <xf numFmtId="1" fontId="11" fillId="2" borderId="0" xfId="0" applyNumberFormat="1" applyFont="1" applyFill="1" applyBorder="1" applyAlignment="1" applyProtection="1">
      <alignment horizontal="left" vertical="center" wrapText="1"/>
      <protection hidden="1"/>
    </xf>
    <xf numFmtId="1" fontId="2" fillId="7" borderId="62" xfId="0" applyNumberFormat="1" applyFont="1" applyFill="1" applyBorder="1" applyAlignment="1" applyProtection="1">
      <alignment horizontal="left" vertical="top"/>
      <protection hidden="1"/>
    </xf>
    <xf numFmtId="1" fontId="2" fillId="7" borderId="23" xfId="0" applyNumberFormat="1" applyFont="1" applyFill="1" applyBorder="1" applyAlignment="1" applyProtection="1">
      <alignment horizontal="left" vertical="top"/>
      <protection hidden="1"/>
    </xf>
    <xf numFmtId="0" fontId="46" fillId="0" borderId="21" xfId="1" applyNumberFormat="1" applyFont="1" applyFill="1" applyBorder="1" applyAlignment="1" applyProtection="1">
      <alignment horizontal="left" vertical="center" wrapText="1"/>
      <protection hidden="1"/>
    </xf>
    <xf numFmtId="0" fontId="46" fillId="0" borderId="22" xfId="1" applyNumberFormat="1" applyFont="1" applyFill="1" applyBorder="1" applyAlignment="1" applyProtection="1">
      <alignment horizontal="left" vertical="center" wrapText="1"/>
      <protection hidden="1"/>
    </xf>
    <xf numFmtId="0" fontId="46" fillId="0" borderId="52" xfId="1" applyNumberFormat="1" applyFont="1" applyFill="1" applyBorder="1" applyAlignment="1" applyProtection="1">
      <alignment horizontal="left" vertical="center" wrapText="1"/>
      <protection hidden="1"/>
    </xf>
    <xf numFmtId="0" fontId="17" fillId="0" borderId="21" xfId="1" applyNumberFormat="1" applyFont="1" applyFill="1" applyBorder="1" applyAlignment="1" applyProtection="1">
      <alignment horizontal="left" vertical="center" wrapText="1"/>
      <protection hidden="1"/>
    </xf>
    <xf numFmtId="0" fontId="17" fillId="0" borderId="22" xfId="1" applyNumberFormat="1" applyFont="1" applyFill="1" applyBorder="1" applyAlignment="1" applyProtection="1">
      <alignment horizontal="left" vertical="center" wrapText="1"/>
      <protection hidden="1"/>
    </xf>
    <xf numFmtId="0" fontId="17" fillId="0" borderId="52" xfId="1" applyNumberFormat="1" applyFont="1" applyFill="1" applyBorder="1" applyAlignment="1" applyProtection="1">
      <alignment horizontal="left" vertical="center" wrapText="1"/>
      <protection hidden="1"/>
    </xf>
    <xf numFmtId="49" fontId="11" fillId="4" borderId="21" xfId="0" applyNumberFormat="1" applyFont="1" applyFill="1" applyBorder="1" applyAlignment="1" applyProtection="1">
      <alignment horizontal="left" vertical="center" wrapText="1"/>
      <protection hidden="1"/>
    </xf>
    <xf numFmtId="49" fontId="11" fillId="4" borderId="22" xfId="0" applyNumberFormat="1" applyFont="1" applyFill="1" applyBorder="1" applyAlignment="1" applyProtection="1">
      <alignment horizontal="left" vertical="center" wrapText="1"/>
      <protection hidden="1"/>
    </xf>
    <xf numFmtId="49" fontId="11" fillId="4" borderId="52" xfId="0" applyNumberFormat="1" applyFont="1" applyFill="1" applyBorder="1" applyAlignment="1" applyProtection="1">
      <alignment horizontal="left" vertical="center" wrapText="1"/>
      <protection hidden="1"/>
    </xf>
    <xf numFmtId="1" fontId="6" fillId="7" borderId="21" xfId="0" applyNumberFormat="1" applyFont="1" applyFill="1" applyBorder="1" applyAlignment="1" applyProtection="1">
      <alignment horizontal="left" vertical="top"/>
      <protection hidden="1"/>
    </xf>
    <xf numFmtId="1" fontId="6" fillId="7" borderId="22" xfId="0" applyNumberFormat="1" applyFont="1" applyFill="1" applyBorder="1" applyAlignment="1" applyProtection="1">
      <alignment horizontal="left" vertical="top"/>
      <protection hidden="1"/>
    </xf>
    <xf numFmtId="1" fontId="6" fillId="7" borderId="52" xfId="0" applyNumberFormat="1" applyFont="1" applyFill="1" applyBorder="1" applyAlignment="1" applyProtection="1">
      <alignment horizontal="left" vertical="top"/>
      <protection hidden="1"/>
    </xf>
    <xf numFmtId="1" fontId="2" fillId="7" borderId="21" xfId="0" applyNumberFormat="1" applyFont="1" applyFill="1" applyBorder="1" applyAlignment="1" applyProtection="1">
      <alignment horizontal="right" vertical="center"/>
      <protection hidden="1"/>
    </xf>
    <xf numFmtId="1" fontId="2" fillId="7" borderId="52" xfId="0" applyNumberFormat="1" applyFont="1" applyFill="1" applyBorder="1" applyAlignment="1" applyProtection="1">
      <alignment horizontal="right" vertical="center"/>
      <protection hidden="1"/>
    </xf>
    <xf numFmtId="0" fontId="4" fillId="10" borderId="21" xfId="0" applyFont="1" applyFill="1" applyBorder="1" applyAlignment="1" applyProtection="1">
      <alignment horizontal="left" vertical="center"/>
      <protection hidden="1"/>
    </xf>
    <xf numFmtId="0" fontId="4" fillId="10" borderId="22" xfId="0" applyFont="1" applyFill="1" applyBorder="1" applyAlignment="1" applyProtection="1">
      <alignment horizontal="left" vertical="center"/>
      <protection hidden="1"/>
    </xf>
    <xf numFmtId="0" fontId="4" fillId="10" borderId="52" xfId="0" applyFont="1" applyFill="1" applyBorder="1" applyAlignment="1" applyProtection="1">
      <alignment horizontal="left" vertical="center"/>
      <protection hidden="1"/>
    </xf>
    <xf numFmtId="0" fontId="17" fillId="0" borderId="21" xfId="0" applyNumberFormat="1" applyFont="1" applyFill="1" applyBorder="1" applyAlignment="1" applyProtection="1">
      <alignment vertical="center" wrapText="1"/>
      <protection hidden="1"/>
    </xf>
    <xf numFmtId="0" fontId="17" fillId="0" borderId="52" xfId="0" applyNumberFormat="1" applyFont="1" applyFill="1" applyBorder="1" applyAlignment="1" applyProtection="1">
      <alignment vertical="center" wrapText="1"/>
      <protection hidden="1"/>
    </xf>
    <xf numFmtId="49" fontId="11" fillId="4" borderId="21" xfId="0" applyNumberFormat="1" applyFont="1" applyFill="1" applyBorder="1" applyAlignment="1" applyProtection="1">
      <alignment horizontal="left" vertical="top" wrapText="1"/>
      <protection hidden="1"/>
    </xf>
    <xf numFmtId="49" fontId="11" fillId="4" borderId="22" xfId="0" applyNumberFormat="1" applyFont="1" applyFill="1" applyBorder="1" applyAlignment="1" applyProtection="1">
      <alignment horizontal="left" vertical="top" wrapText="1"/>
      <protection hidden="1"/>
    </xf>
    <xf numFmtId="49" fontId="11" fillId="4" borderId="52" xfId="0" applyNumberFormat="1" applyFont="1" applyFill="1" applyBorder="1" applyAlignment="1" applyProtection="1">
      <alignment horizontal="left" vertical="top" wrapText="1"/>
      <protection hidden="1"/>
    </xf>
    <xf numFmtId="1" fontId="17" fillId="2" borderId="21" xfId="0" applyNumberFormat="1" applyFont="1" applyFill="1" applyBorder="1" applyAlignment="1" applyProtection="1">
      <alignment horizontal="left" vertical="center" wrapText="1"/>
      <protection hidden="1"/>
    </xf>
    <xf numFmtId="1" fontId="17" fillId="2" borderId="22" xfId="0" applyNumberFormat="1" applyFont="1" applyFill="1" applyBorder="1" applyAlignment="1" applyProtection="1">
      <alignment horizontal="left" vertical="center" wrapText="1"/>
      <protection hidden="1"/>
    </xf>
    <xf numFmtId="1" fontId="17" fillId="2" borderId="52" xfId="0" applyNumberFormat="1" applyFont="1" applyFill="1" applyBorder="1" applyAlignment="1" applyProtection="1">
      <alignment horizontal="left" vertical="center" wrapText="1"/>
      <protection hidden="1"/>
    </xf>
    <xf numFmtId="0" fontId="46" fillId="0" borderId="21" xfId="0" applyNumberFormat="1" applyFont="1" applyFill="1" applyBorder="1" applyAlignment="1" applyProtection="1">
      <alignment vertical="center" wrapText="1"/>
      <protection hidden="1"/>
    </xf>
    <xf numFmtId="0" fontId="46" fillId="0" borderId="52" xfId="0" applyNumberFormat="1" applyFont="1" applyFill="1" applyBorder="1" applyAlignment="1" applyProtection="1">
      <alignment vertical="center" wrapText="1"/>
      <protection hidden="1"/>
    </xf>
    <xf numFmtId="1" fontId="45" fillId="0" borderId="21" xfId="0" applyNumberFormat="1" applyFont="1" applyFill="1" applyBorder="1" applyAlignment="1" applyProtection="1">
      <alignment horizontal="left" vertical="center" wrapText="1"/>
      <protection hidden="1"/>
    </xf>
    <xf numFmtId="1" fontId="45" fillId="0" borderId="52" xfId="0" applyNumberFormat="1" applyFont="1" applyFill="1" applyBorder="1" applyAlignment="1" applyProtection="1">
      <alignment horizontal="left" vertical="center" wrapText="1"/>
      <protection hidden="1"/>
    </xf>
    <xf numFmtId="44" fontId="7" fillId="2" borderId="21" xfId="4" applyFont="1" applyFill="1" applyBorder="1" applyAlignment="1" applyProtection="1">
      <alignment horizontal="center" vertical="center"/>
      <protection hidden="1"/>
    </xf>
    <xf numFmtId="44" fontId="7" fillId="2" borderId="52" xfId="4" applyFont="1" applyFill="1" applyBorder="1" applyAlignment="1" applyProtection="1">
      <alignment horizontal="center" vertical="center"/>
      <protection hidden="1"/>
    </xf>
    <xf numFmtId="167" fontId="7" fillId="2" borderId="21" xfId="1" applyNumberFormat="1" applyFont="1" applyFill="1" applyBorder="1" applyAlignment="1" applyProtection="1">
      <alignment horizontal="center" vertical="center" wrapText="1"/>
      <protection hidden="1"/>
    </xf>
    <xf numFmtId="167" fontId="7" fillId="2" borderId="52" xfId="1" applyNumberFormat="1" applyFont="1" applyFill="1" applyBorder="1" applyAlignment="1" applyProtection="1">
      <alignment horizontal="center" vertical="center" wrapText="1"/>
      <protection hidden="1"/>
    </xf>
    <xf numFmtId="1" fontId="6" fillId="7" borderId="0" xfId="0" applyNumberFormat="1" applyFont="1" applyFill="1" applyBorder="1" applyAlignment="1" applyProtection="1">
      <alignment horizontal="center" vertical="center"/>
      <protection hidden="1"/>
    </xf>
    <xf numFmtId="1" fontId="6" fillId="7" borderId="23" xfId="0" applyNumberFormat="1" applyFont="1" applyFill="1" applyBorder="1" applyAlignment="1" applyProtection="1">
      <alignment horizontal="center" vertical="center"/>
      <protection hidden="1"/>
    </xf>
    <xf numFmtId="1" fontId="6" fillId="7" borderId="21" xfId="0" applyNumberFormat="1" applyFont="1" applyFill="1" applyBorder="1" applyAlignment="1" applyProtection="1">
      <alignment horizontal="center" vertical="center"/>
      <protection hidden="1"/>
    </xf>
    <xf numFmtId="1" fontId="6" fillId="7" borderId="22" xfId="0" applyNumberFormat="1" applyFont="1" applyFill="1" applyBorder="1" applyAlignment="1" applyProtection="1">
      <alignment horizontal="center" vertical="center"/>
      <protection hidden="1"/>
    </xf>
    <xf numFmtId="1" fontId="6" fillId="7" borderId="52" xfId="0" applyNumberFormat="1" applyFont="1" applyFill="1" applyBorder="1" applyAlignment="1" applyProtection="1">
      <alignment horizontal="center" vertical="center"/>
      <protection hidden="1"/>
    </xf>
    <xf numFmtId="1" fontId="2" fillId="7" borderId="21" xfId="0" applyNumberFormat="1" applyFont="1" applyFill="1" applyBorder="1" applyAlignment="1" applyProtection="1">
      <alignment vertical="top"/>
      <protection hidden="1"/>
    </xf>
    <xf numFmtId="1" fontId="2" fillId="7" borderId="52" xfId="0" applyNumberFormat="1" applyFont="1" applyFill="1" applyBorder="1" applyAlignment="1" applyProtection="1">
      <alignment vertical="top"/>
      <protection hidden="1"/>
    </xf>
    <xf numFmtId="0" fontId="0" fillId="10" borderId="21" xfId="0" applyFill="1" applyBorder="1" applyAlignment="1" applyProtection="1">
      <alignment horizontal="left" vertical="center" wrapText="1"/>
      <protection hidden="1"/>
    </xf>
    <xf numFmtId="0" fontId="0" fillId="10" borderId="22" xfId="0" applyFill="1" applyBorder="1" applyAlignment="1" applyProtection="1">
      <alignment horizontal="left" vertical="center" wrapText="1"/>
      <protection hidden="1"/>
    </xf>
    <xf numFmtId="0" fontId="0" fillId="10" borderId="52" xfId="0" applyFill="1" applyBorder="1" applyAlignment="1" applyProtection="1">
      <alignment horizontal="left" vertical="center" wrapText="1"/>
      <protection hidden="1"/>
    </xf>
    <xf numFmtId="0" fontId="0" fillId="10" borderId="21" xfId="0" applyFill="1" applyBorder="1" applyAlignment="1" applyProtection="1">
      <alignment horizontal="left" vertical="center"/>
      <protection hidden="1"/>
    </xf>
    <xf numFmtId="0" fontId="0" fillId="10" borderId="22" xfId="0" applyFill="1" applyBorder="1" applyAlignment="1" applyProtection="1">
      <alignment horizontal="left" vertical="center"/>
      <protection hidden="1"/>
    </xf>
    <xf numFmtId="0" fontId="0" fillId="10" borderId="52" xfId="0" applyFill="1" applyBorder="1" applyAlignment="1" applyProtection="1">
      <alignment horizontal="left" vertical="center"/>
      <protection hidden="1"/>
    </xf>
  </cellXfs>
  <cellStyles count="5">
    <cellStyle name="Hypertextový odkaz" xfId="2" builtinId="8" customBuiltin="1"/>
    <cellStyle name="Měna" xfId="4" builtinId="4"/>
    <cellStyle name="Normální" xfId="0" builtinId="0"/>
    <cellStyle name="Procenta" xfId="1" builtinId="5"/>
    <cellStyle name="Standard 2" xfId="3"/>
  </cellStyles>
  <dxfs count="125">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numFmt numFmtId="1" formatCode="0"/>
    </dxf>
    <dxf>
      <font>
        <color theme="0"/>
      </font>
      <fill>
        <patternFill>
          <bgColor theme="0"/>
        </patternFill>
      </fill>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bgColor theme="0"/>
        </patternFill>
      </fill>
    </dxf>
    <dxf>
      <font>
        <color theme="0"/>
      </font>
      <fill>
        <patternFill>
          <fgColor theme="0"/>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solid">
          <bgColor theme="0"/>
        </patternFill>
      </fill>
      <border>
        <vertical/>
        <horizontal/>
      </border>
    </dxf>
    <dxf>
      <font>
        <color theme="0"/>
      </font>
      <fill>
        <patternFill>
          <bgColor theme="0"/>
        </patternFill>
      </fill>
      <border>
        <vertical/>
        <horizontal/>
      </border>
    </dxf>
    <dxf>
      <font>
        <color theme="0"/>
      </font>
      <fill>
        <patternFill>
          <bgColor theme="0"/>
        </patternFill>
      </fill>
    </dxf>
    <dxf>
      <font>
        <color rgb="FFFF0000"/>
      </font>
    </dxf>
    <dxf>
      <font>
        <color rgb="FFFF0000"/>
      </font>
    </dxf>
    <dxf>
      <font>
        <color theme="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rgb="FFFF0000"/>
      </font>
    </dxf>
    <dxf>
      <font>
        <color rgb="FFFF0000"/>
      </font>
    </dxf>
    <dxf>
      <font>
        <color rgb="FFFF0000"/>
      </font>
    </dxf>
    <dxf>
      <font>
        <color rgb="FFFF0000"/>
      </font>
    </dxf>
    <dxf>
      <font>
        <color rgb="FFFF000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64" formatCode="0.0"/>
    </dxf>
    <dxf>
      <numFmt numFmtId="164" formatCode="0.0"/>
    </dxf>
    <dxf>
      <numFmt numFmtId="164" formatCode="0.0"/>
    </dxf>
    <dxf>
      <numFmt numFmtId="1" formatCode="0"/>
    </dxf>
    <dxf>
      <numFmt numFmtId="1" formatCode="0"/>
    </dxf>
    <dxf>
      <numFmt numFmtId="1" formatCode="0"/>
    </dxf>
    <dxf>
      <font>
        <color theme="0"/>
      </font>
      <fill>
        <patternFill>
          <fgColor theme="0"/>
          <bgColor theme="0"/>
        </patternFill>
      </fill>
      <border>
        <vertical/>
        <horizontal/>
      </border>
    </dxf>
    <dxf>
      <font>
        <color theme="0"/>
      </font>
      <fill>
        <patternFill>
          <fgColor theme="0"/>
          <bgColor theme="0"/>
        </patternFill>
      </fill>
      <border>
        <vertical/>
        <horizontal/>
      </border>
    </dxf>
    <dxf>
      <font>
        <color rgb="FF00B050"/>
      </font>
      <fill>
        <patternFill patternType="solid">
          <bgColor theme="2"/>
        </patternFill>
      </fill>
    </dxf>
    <dxf>
      <font>
        <b/>
        <i val="0"/>
        <color rgb="FFFF0000"/>
      </font>
    </dxf>
    <dxf>
      <font>
        <b/>
        <i val="0"/>
        <color rgb="FF00B050"/>
      </font>
    </dxf>
    <dxf>
      <font>
        <color theme="0"/>
      </font>
      <fill>
        <patternFill>
          <bgColor theme="0"/>
        </patternFill>
      </fill>
    </dxf>
    <dxf>
      <font>
        <color theme="0"/>
      </font>
      <fill>
        <patternFill>
          <bgColor theme="0"/>
        </patternFill>
      </fill>
    </dxf>
    <dxf>
      <font>
        <strike val="0"/>
        <color theme="0"/>
      </font>
      <fill>
        <patternFill>
          <bgColor theme="0"/>
        </patternFill>
      </fill>
    </dxf>
  </dxfs>
  <tableStyles count="0" defaultTableStyle="TableStyleMedium2" defaultPivotStyle="PivotStyleLight16"/>
  <colors>
    <mruColors>
      <color rgb="FF0070C0"/>
      <color rgb="FFE7E6E6"/>
      <color rgb="FFC6E0B4"/>
      <color rgb="FFFF0000"/>
      <color rgb="FFFFFFFF"/>
      <color rgb="FFFF9999"/>
      <color rgb="FFFF4747"/>
      <color rgb="FFAFA415"/>
      <color rgb="FFA1971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parametry!$B$109" lockText="1" noThreeD="1"/>
</file>

<file path=xl/ctrlProps/ctrlProp2.xml><?xml version="1.0" encoding="utf-8"?>
<formControlPr xmlns="http://schemas.microsoft.com/office/spreadsheetml/2009/9/main" objectType="CheckBox" fmlaLink="parametry!$B$110" lockText="1" noThreeD="1"/>
</file>

<file path=xl/ctrlProps/ctrlProp3.xml><?xml version="1.0" encoding="utf-8"?>
<formControlPr xmlns="http://schemas.microsoft.com/office/spreadsheetml/2009/9/main" objectType="CheckBox" fmlaLink="parametry!$B$111"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fmlaLink="parametry!$B$112" lockText="1" noThreeD="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1</xdr:col>
          <xdr:colOff>1285875</xdr:colOff>
          <xdr:row>14</xdr:row>
          <xdr:rowOff>190500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1</xdr:col>
          <xdr:colOff>1285875</xdr:colOff>
          <xdr:row>15</xdr:row>
          <xdr:rowOff>200025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1</xdr:col>
          <xdr:colOff>1285875</xdr:colOff>
          <xdr:row>16</xdr:row>
          <xdr:rowOff>200025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152400</xdr:rowOff>
        </xdr:from>
        <xdr:to>
          <xdr:col>6</xdr:col>
          <xdr:colOff>1104900</xdr:colOff>
          <xdr:row>70</xdr:row>
          <xdr:rowOff>123825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600" b="1" i="0" u="none" strike="noStrike" baseline="0">
                  <a:solidFill>
                    <a:srgbClr val="000000"/>
                  </a:solidFill>
                  <a:latin typeface="Calibri"/>
                  <a:cs typeface="Calibri"/>
                </a:rPr>
                <a:t>RESET hodnot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0</xdr:rowOff>
        </xdr:from>
        <xdr:to>
          <xdr:col>2</xdr:col>
          <xdr:colOff>228600</xdr:colOff>
          <xdr:row>70</xdr:row>
          <xdr:rowOff>123825</xdr:rowOff>
        </xdr:to>
        <xdr:sp macro="" textlink="">
          <xdr:nvSpPr>
            <xdr:cNvPr id="4101" name="Button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600" b="1" i="0" u="none" strike="noStrike" baseline="0">
                  <a:solidFill>
                    <a:srgbClr val="000000"/>
                  </a:solidFill>
                  <a:latin typeface="Calibri"/>
                  <a:cs typeface="Calibri"/>
                </a:rPr>
                <a:t>Generování formuláře pro podpis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14</xdr:row>
          <xdr:rowOff>47625</xdr:rowOff>
        </xdr:from>
        <xdr:to>
          <xdr:col>6</xdr:col>
          <xdr:colOff>1085850</xdr:colOff>
          <xdr:row>15</xdr:row>
          <xdr:rowOff>304800</xdr:rowOff>
        </xdr:to>
        <xdr:sp macro="" textlink="">
          <xdr:nvSpPr>
            <xdr:cNvPr id="4104" name="Button 8" descr="Přejít na manuál" hidden="1">
              <a:extLst>
                <a:ext uri="{63B3BB69-23CF-44E3-9099-C40C66FF867C}">
                  <a14:compatExt spid="_x0000_s41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1" i="0" u="none" strike="noStrike" baseline="0">
                  <a:solidFill>
                    <a:srgbClr val="000000"/>
                  </a:solidFill>
                  <a:latin typeface="Calibri"/>
                  <a:cs typeface="Calibri"/>
                </a:rPr>
                <a:t>Zobrazit nápovědu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16</xdr:row>
          <xdr:rowOff>19050</xdr:rowOff>
        </xdr:from>
        <xdr:to>
          <xdr:col>6</xdr:col>
          <xdr:colOff>1095375</xdr:colOff>
          <xdr:row>17</xdr:row>
          <xdr:rowOff>314325</xdr:rowOff>
        </xdr:to>
        <xdr:sp macro="" textlink="">
          <xdr:nvSpPr>
            <xdr:cNvPr id="4105" name="Button 9" descr="Přejít na manuál" hidden="1">
              <a:extLst>
                <a:ext uri="{63B3BB69-23CF-44E3-9099-C40C66FF867C}">
                  <a14:compatExt spid="_x0000_s4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1" i="0" u="none" strike="noStrike" baseline="0">
                  <a:solidFill>
                    <a:srgbClr val="000000"/>
                  </a:solidFill>
                  <a:latin typeface="Calibri"/>
                  <a:cs typeface="Calibri"/>
                </a:rPr>
                <a:t>Skrýt nápovědu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2152650</xdr:colOff>
          <xdr:row>66</xdr:row>
          <xdr:rowOff>171450</xdr:rowOff>
        </xdr:from>
        <xdr:to>
          <xdr:col>4</xdr:col>
          <xdr:colOff>1314450</xdr:colOff>
          <xdr:row>70</xdr:row>
          <xdr:rowOff>123825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600" b="1" i="0" u="none" strike="noStrike" baseline="0">
                  <a:solidFill>
                    <a:srgbClr val="000000"/>
                  </a:solidFill>
                  <a:latin typeface="Calibri"/>
                  <a:cs typeface="Calibri"/>
                </a:rPr>
                <a:t>Export dat</a:t>
              </a:r>
            </a:p>
          </xdr:txBody>
        </xdr:sp>
        <xdr:clientData fPrintsWithSheet="0"/>
      </xdr:twoCellAnchor>
    </mc:Choice>
    <mc:Fallback/>
  </mc:AlternateContent>
  <xdr:twoCellAnchor editAs="oneCell">
    <xdr:from>
      <xdr:col>2</xdr:col>
      <xdr:colOff>314325</xdr:colOff>
      <xdr:row>0</xdr:row>
      <xdr:rowOff>95250</xdr:rowOff>
    </xdr:from>
    <xdr:to>
      <xdr:col>2</xdr:col>
      <xdr:colOff>1990725</xdr:colOff>
      <xdr:row>1</xdr:row>
      <xdr:rowOff>57150</xdr:rowOff>
    </xdr:to>
    <xdr:pic>
      <xdr:nvPicPr>
        <xdr:cNvPr id="11" name="Obráze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1325" y="95250"/>
          <a:ext cx="1676400" cy="819150"/>
        </a:xfrm>
        <a:prstGeom prst="rect">
          <a:avLst/>
        </a:prstGeom>
        <a:noFill/>
        <a:ln>
          <a:noFill/>
        </a:ln>
      </xdr:spPr>
    </xdr:pic>
    <xdr:clientData/>
  </xdr:twoCellAnchor>
  <xdr:twoCellAnchor editAs="oneCell">
    <xdr:from>
      <xdr:col>6</xdr:col>
      <xdr:colOff>342900</xdr:colOff>
      <xdr:row>0</xdr:row>
      <xdr:rowOff>47625</xdr:rowOff>
    </xdr:from>
    <xdr:to>
      <xdr:col>6</xdr:col>
      <xdr:colOff>1362075</xdr:colOff>
      <xdr:row>0</xdr:row>
      <xdr:rowOff>329026</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87350" y="47625"/>
          <a:ext cx="1019175" cy="2814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72</xdr:row>
          <xdr:rowOff>161925</xdr:rowOff>
        </xdr:from>
        <xdr:to>
          <xdr:col>1</xdr:col>
          <xdr:colOff>914400</xdr:colOff>
          <xdr:row>74</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Admin MOD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9525</xdr:rowOff>
        </xdr:from>
        <xdr:to>
          <xdr:col>1</xdr:col>
          <xdr:colOff>2381250</xdr:colOff>
          <xdr:row>28</xdr:row>
          <xdr:rowOff>209550</xdr:rowOff>
        </xdr:to>
        <xdr:sp macro="" textlink="">
          <xdr:nvSpPr>
            <xdr:cNvPr id="4115" name="Button 19" hidden="1">
              <a:extLst>
                <a:ext uri="{63B3BB69-23CF-44E3-9099-C40C66FF867C}">
                  <a14:compatExt spid="_x0000_s41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Kotel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9525</xdr:rowOff>
        </xdr:from>
        <xdr:to>
          <xdr:col>1</xdr:col>
          <xdr:colOff>2381250</xdr:colOff>
          <xdr:row>28</xdr:row>
          <xdr:rowOff>0</xdr:rowOff>
        </xdr:to>
        <xdr:sp macro="" textlink="">
          <xdr:nvSpPr>
            <xdr:cNvPr id="4116" name="Button 20" hidden="1">
              <a:extLst>
                <a:ext uri="{63B3BB69-23CF-44E3-9099-C40C66FF867C}">
                  <a14:compatExt spid="_x0000_s41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Zateplení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2381250</xdr:colOff>
          <xdr:row>29</xdr:row>
          <xdr:rowOff>200025</xdr:rowOff>
        </xdr:to>
        <xdr:sp macro="" textlink="">
          <xdr:nvSpPr>
            <xdr:cNvPr id="4117" name="Button 21" hidden="1">
              <a:extLst>
                <a:ext uri="{63B3BB69-23CF-44E3-9099-C40C66FF867C}">
                  <a14:compatExt spid="_x0000_s41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Osvětlení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1</xdr:col>
          <xdr:colOff>1295400</xdr:colOff>
          <xdr:row>17</xdr:row>
          <xdr:rowOff>209550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2371725</xdr:colOff>
          <xdr:row>30</xdr:row>
          <xdr:rowOff>200025</xdr:rowOff>
        </xdr:to>
        <xdr:sp macro="" textlink="">
          <xdr:nvSpPr>
            <xdr:cNvPr id="4120" name="Button 24" hidden="1">
              <a:extLst>
                <a:ext uri="{63B3BB69-23CF-44E3-9099-C40C66FF867C}">
                  <a14:compatExt spid="_x0000_s41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FVE</a:t>
              </a:r>
            </a:p>
          </xdr:txBody>
        </xdr:sp>
        <xdr:clientData fPrintsWithSheet="0"/>
      </xdr:twoCellAnchor>
    </mc:Choice>
    <mc:Fallback/>
  </mc:AlternateContent>
  <xdr:twoCellAnchor editAs="oneCell">
    <xdr:from>
      <xdr:col>1</xdr:col>
      <xdr:colOff>125801</xdr:colOff>
      <xdr:row>0</xdr:row>
      <xdr:rowOff>80874</xdr:rowOff>
    </xdr:from>
    <xdr:to>
      <xdr:col>1</xdr:col>
      <xdr:colOff>2147617</xdr:colOff>
      <xdr:row>1</xdr:row>
      <xdr:rowOff>125803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461" y="80874"/>
          <a:ext cx="2021816" cy="89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476250</xdr:colOff>
          <xdr:row>0</xdr:row>
          <xdr:rowOff>76200</xdr:rowOff>
        </xdr:from>
        <xdr:to>
          <xdr:col>4</xdr:col>
          <xdr:colOff>657225</xdr:colOff>
          <xdr:row>1</xdr:row>
          <xdr:rowOff>66675</xdr:rowOff>
        </xdr:to>
        <xdr:sp macro="" textlink="">
          <xdr:nvSpPr>
            <xdr:cNvPr id="16396" name="Button 12" hidden="1">
              <a:extLst>
                <a:ext uri="{63B3BB69-23CF-44E3-9099-C40C66FF867C}">
                  <a14:compatExt spid="_x0000_s163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561975</xdr:colOff>
          <xdr:row>3</xdr:row>
          <xdr:rowOff>123825</xdr:rowOff>
        </xdr:from>
        <xdr:to>
          <xdr:col>8</xdr:col>
          <xdr:colOff>104775</xdr:colOff>
          <xdr:row>3</xdr:row>
          <xdr:rowOff>295275</xdr:rowOff>
        </xdr:to>
        <xdr:sp macro="" textlink="">
          <xdr:nvSpPr>
            <xdr:cNvPr id="16397" name="Button 13" hidden="1">
              <a:extLst>
                <a:ext uri="{63B3BB69-23CF-44E3-9099-C40C66FF867C}">
                  <a14:compatExt spid="_x0000_s163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reset FVE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0</xdr:row>
          <xdr:rowOff>57150</xdr:rowOff>
        </xdr:from>
        <xdr:to>
          <xdr:col>3</xdr:col>
          <xdr:colOff>1371600</xdr:colOff>
          <xdr:row>1</xdr:row>
          <xdr:rowOff>47625</xdr:rowOff>
        </xdr:to>
        <xdr:sp macro="" textlink="">
          <xdr:nvSpPr>
            <xdr:cNvPr id="7191" name="Button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2095500</xdr:colOff>
          <xdr:row>2</xdr:row>
          <xdr:rowOff>104775</xdr:rowOff>
        </xdr:from>
        <xdr:to>
          <xdr:col>6</xdr:col>
          <xdr:colOff>3162300</xdr:colOff>
          <xdr:row>3</xdr:row>
          <xdr:rowOff>76200</xdr:rowOff>
        </xdr:to>
        <xdr:sp macro="" textlink="">
          <xdr:nvSpPr>
            <xdr:cNvPr id="7194" name="Button 26" hidden="1">
              <a:extLst>
                <a:ext uri="{63B3BB69-23CF-44E3-9099-C40C66FF867C}">
                  <a14:compatExt spid="_x0000_s71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reset zateplení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119</xdr:row>
          <xdr:rowOff>304800</xdr:rowOff>
        </xdr:from>
        <xdr:to>
          <xdr:col>2</xdr:col>
          <xdr:colOff>1400175</xdr:colOff>
          <xdr:row>121</xdr:row>
          <xdr:rowOff>19050</xdr:rowOff>
        </xdr:to>
        <xdr:sp macro="" textlink="">
          <xdr:nvSpPr>
            <xdr:cNvPr id="7198" name="Button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0</xdr:row>
          <xdr:rowOff>66675</xdr:rowOff>
        </xdr:from>
        <xdr:to>
          <xdr:col>3</xdr:col>
          <xdr:colOff>1276350</xdr:colOff>
          <xdr:row>1</xdr:row>
          <xdr:rowOff>57150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581025</xdr:colOff>
          <xdr:row>43</xdr:row>
          <xdr:rowOff>276225</xdr:rowOff>
        </xdr:from>
        <xdr:to>
          <xdr:col>2</xdr:col>
          <xdr:colOff>1219200</xdr:colOff>
          <xdr:row>44</xdr:row>
          <xdr:rowOff>57150</xdr:rowOff>
        </xdr:to>
        <xdr:sp macro="" textlink="">
          <xdr:nvSpPr>
            <xdr:cNvPr id="12293" name="Button 5" hidden="1">
              <a:extLst>
                <a:ext uri="{63B3BB69-23CF-44E3-9099-C40C66FF867C}">
                  <a14:compatExt spid="_x0000_s122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619125</xdr:colOff>
          <xdr:row>3</xdr:row>
          <xdr:rowOff>114300</xdr:rowOff>
        </xdr:from>
        <xdr:to>
          <xdr:col>6</xdr:col>
          <xdr:colOff>1343025</xdr:colOff>
          <xdr:row>3</xdr:row>
          <xdr:rowOff>285750</xdr:rowOff>
        </xdr:to>
        <xdr:sp macro="" textlink="">
          <xdr:nvSpPr>
            <xdr:cNvPr id="12294" name="Button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reset kotel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38100</xdr:colOff>
          <xdr:row>1</xdr:row>
          <xdr:rowOff>76200</xdr:rowOff>
        </xdr:to>
        <xdr:sp macro="" textlink="">
          <xdr:nvSpPr>
            <xdr:cNvPr id="13316" name="Button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xdr:row>
          <xdr:rowOff>85725</xdr:rowOff>
        </xdr:from>
        <xdr:to>
          <xdr:col>2</xdr:col>
          <xdr:colOff>1247775</xdr:colOff>
          <xdr:row>38</xdr:row>
          <xdr:rowOff>409575</xdr:rowOff>
        </xdr:to>
        <xdr:sp macro="" textlink="">
          <xdr:nvSpPr>
            <xdr:cNvPr id="13317" name="Button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Zpět na Hlavní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638175</xdr:colOff>
          <xdr:row>2</xdr:row>
          <xdr:rowOff>38100</xdr:rowOff>
        </xdr:from>
        <xdr:to>
          <xdr:col>7</xdr:col>
          <xdr:colOff>609600</xdr:colOff>
          <xdr:row>3</xdr:row>
          <xdr:rowOff>104775</xdr:rowOff>
        </xdr:to>
        <xdr:sp macro="" textlink="">
          <xdr:nvSpPr>
            <xdr:cNvPr id="13319" name="Button 7" hidden="1">
              <a:extLst>
                <a:ext uri="{63B3BB69-23CF-44E3-9099-C40C66FF867C}">
                  <a14:compatExt spid="_x0000_s133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reset osvětlení</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123264</xdr:colOff>
      <xdr:row>0</xdr:row>
      <xdr:rowOff>67235</xdr:rowOff>
    </xdr:from>
    <xdr:to>
      <xdr:col>6</xdr:col>
      <xdr:colOff>594435</xdr:colOff>
      <xdr:row>1</xdr:row>
      <xdr:rowOff>12662</xdr:rowOff>
    </xdr:to>
    <xdr:pic>
      <xdr:nvPicPr>
        <xdr:cNvPr id="11" name="Obrázek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735" y="67235"/>
          <a:ext cx="1356435" cy="741045"/>
        </a:xfrm>
        <a:prstGeom prst="rect">
          <a:avLst/>
        </a:prstGeom>
        <a:noFill/>
        <a:ln>
          <a:noFill/>
        </a:ln>
      </xdr:spPr>
    </xdr:pic>
    <xdr:clientData/>
  </xdr:twoCellAnchor>
  <xdr:twoCellAnchor editAs="oneCell">
    <xdr:from>
      <xdr:col>0</xdr:col>
      <xdr:colOff>0</xdr:colOff>
      <xdr:row>0</xdr:row>
      <xdr:rowOff>35859</xdr:rowOff>
    </xdr:from>
    <xdr:to>
      <xdr:col>3</xdr:col>
      <xdr:colOff>548288</xdr:colOff>
      <xdr:row>0</xdr:row>
      <xdr:rowOff>741381</xdr:rowOff>
    </xdr:to>
    <xdr:pic>
      <xdr:nvPicPr>
        <xdr:cNvPr id="12" name="Obrázek 11" descr="https://www.cmzrb.cz/wp-content/uploads/2018/11/CMZRB_logo_RGB-300x74.jpg">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59"/>
          <a:ext cx="2857500" cy="70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92</xdr:row>
          <xdr:rowOff>104775</xdr:rowOff>
        </xdr:from>
        <xdr:to>
          <xdr:col>3</xdr:col>
          <xdr:colOff>447675</xdr:colOff>
          <xdr:row>96</xdr:row>
          <xdr:rowOff>47625</xdr:rowOff>
        </xdr:to>
        <xdr:sp macro="" textlink="">
          <xdr:nvSpPr>
            <xdr:cNvPr id="5152" name="Button 32" hidden="1">
              <a:extLst>
                <a:ext uri="{63B3BB69-23CF-44E3-9099-C40C66FF867C}">
                  <a14:compatExt spid="_x0000_s51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600" b="1" i="0" u="none" strike="noStrike" baseline="0">
                  <a:solidFill>
                    <a:srgbClr val="000000"/>
                  </a:solidFill>
                  <a:latin typeface="Calibri"/>
                  <a:cs typeface="Calibri"/>
                </a:rPr>
                <a:t>Tisk formuláře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92</xdr:row>
          <xdr:rowOff>104775</xdr:rowOff>
        </xdr:from>
        <xdr:to>
          <xdr:col>5</xdr:col>
          <xdr:colOff>838200</xdr:colOff>
          <xdr:row>96</xdr:row>
          <xdr:rowOff>66675</xdr:rowOff>
        </xdr:to>
        <xdr:sp macro="" textlink="">
          <xdr:nvSpPr>
            <xdr:cNvPr id="5153" name="Button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600" b="1" i="0" u="none" strike="noStrike" baseline="0">
                  <a:solidFill>
                    <a:srgbClr val="000000"/>
                  </a:solidFill>
                  <a:latin typeface="Calibri"/>
                  <a:cs typeface="Calibri"/>
                </a:rPr>
                <a:t>Tisk formuláře do PDF</a:t>
              </a:r>
            </a:p>
          </xdr:txBody>
        </xdr:sp>
        <xdr:clientData fPrint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CV816"/>
  <sheetViews>
    <sheetView tabSelected="1" zoomScale="81" zoomScaleNormal="85" workbookViewId="0"/>
  </sheetViews>
  <sheetFormatPr defaultColWidth="9.140625" defaultRowHeight="15"/>
  <cols>
    <col min="1" max="1" width="3.28515625" style="404" customWidth="1"/>
    <col min="2" max="2" width="36.140625" style="404" customWidth="1"/>
    <col min="3" max="4" width="52.7109375" style="404" customWidth="1"/>
    <col min="5" max="7" width="20.7109375" style="404" customWidth="1"/>
    <col min="8" max="8" width="11.7109375" style="399" customWidth="1"/>
    <col min="9" max="10" width="10.85546875" style="399" bestFit="1" customWidth="1"/>
    <col min="11" max="32" width="8.85546875" style="399" customWidth="1"/>
    <col min="33" max="16384" width="9.140625" style="404"/>
  </cols>
  <sheetData>
    <row r="1" spans="1:100" s="399" customFormat="1" ht="67.900000000000006" customHeight="1">
      <c r="F1" s="400" t="s">
        <v>670</v>
      </c>
      <c r="G1" s="401"/>
    </row>
    <row r="2" spans="1:100" s="262" customFormat="1" ht="16.149999999999999" customHeight="1">
      <c r="A2" s="402"/>
      <c r="B2" s="259"/>
      <c r="C2" s="258"/>
      <c r="D2"/>
      <c r="E2" s="258"/>
      <c r="F2" s="258"/>
      <c r="I2" s="289"/>
      <c r="L2" s="289"/>
      <c r="M2" s="289"/>
      <c r="N2" s="289"/>
      <c r="O2" s="289"/>
      <c r="P2" s="289"/>
      <c r="Q2" s="289"/>
      <c r="R2" s="289"/>
      <c r="S2" s="289"/>
      <c r="T2" s="289"/>
      <c r="U2" s="289"/>
      <c r="V2" s="289"/>
      <c r="W2" s="289"/>
      <c r="X2" s="289"/>
      <c r="Y2" s="289"/>
      <c r="Z2" s="289"/>
      <c r="AA2" s="289"/>
      <c r="AB2" s="289"/>
      <c r="AC2" s="289"/>
      <c r="AD2" s="289"/>
      <c r="AE2" s="289"/>
      <c r="AF2" s="289"/>
    </row>
    <row r="3" spans="1:100" s="262" customFormat="1" ht="23.25" customHeight="1">
      <c r="A3" s="402"/>
      <c r="B3" s="578" t="s">
        <v>637</v>
      </c>
      <c r="C3" s="579"/>
      <c r="D3" s="579"/>
      <c r="E3" s="579"/>
      <c r="G3" s="558" t="s">
        <v>945</v>
      </c>
      <c r="H3" s="289"/>
      <c r="I3" s="289"/>
      <c r="J3" s="399"/>
      <c r="K3" s="289"/>
      <c r="L3" s="289"/>
      <c r="M3" s="289"/>
      <c r="N3" s="289"/>
      <c r="O3" s="289"/>
      <c r="P3" s="289"/>
      <c r="Q3" s="289"/>
      <c r="R3" s="289"/>
      <c r="S3" s="289"/>
      <c r="T3" s="289"/>
      <c r="U3" s="289"/>
      <c r="V3" s="289"/>
      <c r="W3" s="289"/>
      <c r="X3" s="289"/>
      <c r="Y3" s="289"/>
      <c r="Z3" s="289"/>
      <c r="AA3" s="289"/>
      <c r="AB3" s="289"/>
      <c r="AC3" s="289"/>
      <c r="AD3" s="289"/>
      <c r="AE3" s="289"/>
      <c r="AF3" s="289"/>
    </row>
    <row r="4" spans="1:100" s="262" customFormat="1" ht="48.75" customHeight="1">
      <c r="A4" s="402"/>
      <c r="B4" s="580" t="s">
        <v>946</v>
      </c>
      <c r="C4" s="581"/>
      <c r="D4" s="581"/>
      <c r="E4" s="582"/>
      <c r="F4" s="264"/>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1:100" ht="20.25" customHeight="1" thickBot="1">
      <c r="A5" s="403"/>
      <c r="B5" s="177" t="s">
        <v>728</v>
      </c>
      <c r="C5" s="177"/>
      <c r="D5" s="177"/>
      <c r="E5" s="177"/>
      <c r="F5" s="177"/>
      <c r="G5" s="177"/>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row>
    <row r="6" spans="1:100" s="262" customFormat="1" ht="16.5" thickBot="1">
      <c r="A6" s="402"/>
      <c r="B6" s="494" t="s">
        <v>191</v>
      </c>
      <c r="C6" s="586"/>
      <c r="D6" s="587"/>
      <c r="E6" s="587"/>
      <c r="F6" s="587"/>
      <c r="G6" s="588"/>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1:100" s="262" customFormat="1" ht="16.5" thickBot="1">
      <c r="A7" s="402"/>
      <c r="B7" s="494" t="s">
        <v>192</v>
      </c>
      <c r="C7" s="586"/>
      <c r="D7" s="587"/>
      <c r="E7" s="587"/>
      <c r="F7" s="587"/>
      <c r="G7" s="5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row>
    <row r="8" spans="1:100" s="262" customFormat="1" ht="15.75">
      <c r="A8" s="402"/>
      <c r="B8" s="495" t="s">
        <v>456</v>
      </c>
      <c r="C8" s="589"/>
      <c r="D8" s="590"/>
      <c r="E8" s="590"/>
      <c r="F8" s="590"/>
      <c r="G8" s="591"/>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row>
    <row r="9" spans="1:100" s="262" customFormat="1" ht="16.5" thickBot="1">
      <c r="A9" s="402"/>
      <c r="B9" s="494" t="s">
        <v>787</v>
      </c>
      <c r="C9" s="592"/>
      <c r="D9" s="593"/>
      <c r="E9" s="593"/>
      <c r="F9" s="593"/>
      <c r="G9" s="594"/>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100" s="262" customFormat="1" ht="16.5" thickBot="1">
      <c r="A10" s="402"/>
      <c r="B10" s="494" t="s">
        <v>788</v>
      </c>
      <c r="C10" s="592"/>
      <c r="D10" s="593"/>
      <c r="E10" s="593"/>
      <c r="F10" s="593"/>
      <c r="G10" s="594"/>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100" s="262" customFormat="1" ht="43.15" customHeight="1">
      <c r="A11" s="402"/>
      <c r="B11" s="496" t="s">
        <v>231</v>
      </c>
      <c r="C11" s="583"/>
      <c r="D11" s="584"/>
      <c r="E11" s="584"/>
      <c r="F11" s="584"/>
      <c r="G11" s="585"/>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row>
    <row r="12" spans="1:100" s="262" customFormat="1" ht="15.75">
      <c r="A12" s="402"/>
      <c r="B12" s="405"/>
      <c r="C12" s="406"/>
      <c r="D12" s="407"/>
      <c r="E12" s="407"/>
      <c r="F12" s="407"/>
      <c r="G12" s="408"/>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row>
    <row r="13" spans="1:100" s="262" customFormat="1" ht="15" customHeight="1">
      <c r="A13" s="402"/>
      <c r="B13" s="409"/>
      <c r="C13" s="410"/>
      <c r="D13" s="410"/>
      <c r="E13" s="409"/>
      <c r="F13" s="409"/>
      <c r="G13" s="411"/>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row>
    <row r="14" spans="1:100" ht="20.25" customHeight="1" thickBot="1">
      <c r="A14" s="403"/>
      <c r="B14" s="177" t="s">
        <v>636</v>
      </c>
      <c r="C14" s="177"/>
      <c r="D14" s="177"/>
      <c r="E14" s="5"/>
      <c r="F14" s="5"/>
      <c r="G14" s="5"/>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row>
    <row r="15" spans="1:100" ht="31.5" customHeight="1" thickBot="1">
      <c r="A15" s="403"/>
      <c r="B15" s="188"/>
      <c r="C15" s="602" t="s">
        <v>793</v>
      </c>
      <c r="D15" s="603"/>
      <c r="E15" s="3" t="b">
        <f>parametry!B109</f>
        <v>0</v>
      </c>
      <c r="F15" s="5"/>
      <c r="G15" s="5"/>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row>
    <row r="16" spans="1:100" ht="31.5" customHeight="1" thickBot="1">
      <c r="A16" s="403"/>
      <c r="B16" s="188"/>
      <c r="C16" s="602" t="s">
        <v>729</v>
      </c>
      <c r="D16" s="603"/>
      <c r="E16" s="19" t="b">
        <f>parametry!B110</f>
        <v>0</v>
      </c>
      <c r="F16" s="5"/>
      <c r="G16" s="5"/>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row>
    <row r="17" spans="1:100" ht="31.5" customHeight="1" thickBot="1">
      <c r="A17" s="403"/>
      <c r="B17" s="188"/>
      <c r="C17" s="602" t="s">
        <v>669</v>
      </c>
      <c r="D17" s="603"/>
      <c r="E17" s="3" t="b">
        <f>parametry!B111</f>
        <v>0</v>
      </c>
      <c r="F17" s="5"/>
      <c r="G17" s="5"/>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row>
    <row r="18" spans="1:100" ht="31.5" customHeight="1" thickBot="1">
      <c r="A18" s="403"/>
      <c r="B18" s="544"/>
      <c r="C18" s="611" t="s">
        <v>924</v>
      </c>
      <c r="D18" s="612"/>
      <c r="E18" s="5"/>
      <c r="F18" s="5"/>
      <c r="G18" s="5"/>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row>
    <row r="19" spans="1:100" ht="15.75" thickBot="1">
      <c r="A19" s="412"/>
      <c r="B19" s="543"/>
      <c r="C19" s="245"/>
      <c r="D19" s="245"/>
      <c r="E19" s="5"/>
      <c r="F19" s="5"/>
      <c r="G19" s="5"/>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row>
    <row r="20" spans="1:100" ht="15" customHeight="1" thickBot="1">
      <c r="B20" s="607"/>
      <c r="C20" s="607"/>
      <c r="D20" s="607"/>
      <c r="E20" s="399"/>
      <c r="F20" s="399"/>
      <c r="G20" s="399"/>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row>
    <row r="21" spans="1:100" ht="31.5" hidden="1" customHeight="1" thickBot="1">
      <c r="B21" s="613" t="s">
        <v>802</v>
      </c>
      <c r="C21" s="614"/>
      <c r="D21" s="549"/>
      <c r="E21" s="399"/>
      <c r="F21" s="399"/>
      <c r="G21" s="399"/>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row>
    <row r="22" spans="1:100" ht="31.5" hidden="1" customHeight="1" thickBot="1">
      <c r="B22" s="615" t="s">
        <v>804</v>
      </c>
      <c r="C22" s="616"/>
      <c r="D22" s="549"/>
      <c r="E22" s="399"/>
      <c r="F22" s="399"/>
      <c r="G22" s="399"/>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row>
    <row r="23" spans="1:100" ht="31.5" hidden="1" customHeight="1" thickBot="1">
      <c r="B23" s="615" t="s">
        <v>807</v>
      </c>
      <c r="C23" s="616"/>
      <c r="D23" s="549"/>
      <c r="E23" s="399"/>
      <c r="F23" s="399"/>
      <c r="G23" s="399"/>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row>
    <row r="24" spans="1:100" ht="31.5" hidden="1" customHeight="1" thickBot="1">
      <c r="A24" s="403"/>
      <c r="B24" s="615" t="s">
        <v>942</v>
      </c>
      <c r="C24" s="616"/>
      <c r="D24" s="549"/>
      <c r="E24" s="245"/>
      <c r="F24" s="245"/>
      <c r="G24" s="245"/>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row>
    <row r="25" spans="1:100" ht="31.5" customHeight="1" thickBot="1">
      <c r="A25" s="403"/>
      <c r="B25" s="617" t="s">
        <v>805</v>
      </c>
      <c r="C25" s="618"/>
      <c r="D25" s="552">
        <f>IF(parametry!B109,D22,0)+IF(parametry!B111,D23,0)+IF(parametry!B110,D21,0)+IF(parametry!B112,D24,0)</f>
        <v>0</v>
      </c>
      <c r="E25" s="5"/>
      <c r="F25" s="5"/>
      <c r="G25" s="5"/>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row>
    <row r="26" spans="1:100">
      <c r="A26" s="403"/>
      <c r="B26" s="5"/>
      <c r="C26" s="5"/>
      <c r="D26" s="5"/>
      <c r="E26" s="5"/>
      <c r="F26" s="5"/>
      <c r="G26" s="5"/>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row>
    <row r="27" spans="1:100" ht="16.5" thickBot="1">
      <c r="A27" s="403"/>
      <c r="B27" s="177" t="s">
        <v>799</v>
      </c>
      <c r="C27" s="177"/>
      <c r="D27" s="178"/>
      <c r="E27" s="5"/>
      <c r="F27" s="5"/>
      <c r="G27" s="5"/>
      <c r="H27" s="529" t="str">
        <f>IF(C28="Doplňte list Zateplení",IF(C28="List Zateplení je celý vyplněn",TRUE,FALSE),"")</f>
        <v/>
      </c>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row>
    <row r="28" spans="1:100" ht="15.75" hidden="1">
      <c r="A28" s="403"/>
      <c r="B28" s="413" t="s">
        <v>169</v>
      </c>
      <c r="C28" s="5" t="str">
        <f>IF(parametry!B110=TRUE,IFERROR(IF(Zateplení!H104=FALSE,"Doplňte list Zateplení","List Zateplení je celý vyplněn"),"Doplňte list Zateplení"),"")</f>
        <v/>
      </c>
      <c r="D28" s="5"/>
      <c r="E28" s="5"/>
      <c r="F28" s="5"/>
      <c r="G28" s="5"/>
      <c r="H28" s="529" t="str">
        <f>IF(C29="Doplňte list Kotel",IF(C29="List Kotel je celý vyplněn",TRUE,FALSE),"")</f>
        <v/>
      </c>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row>
    <row r="29" spans="1:100" ht="16.5" hidden="1" thickBot="1">
      <c r="A29" s="403"/>
      <c r="B29" s="413" t="s">
        <v>171</v>
      </c>
      <c r="C29" s="5" t="str">
        <f>IF(parametry!B109=FALSE,"",IF(Kotel!K23=TRUE,"List Kotel je celý vyplněn","Doplňte list Kotel"))</f>
        <v/>
      </c>
      <c r="D29" s="5"/>
      <c r="E29" s="5"/>
      <c r="F29" s="5"/>
      <c r="G29" s="5"/>
      <c r="H29" s="414"/>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row>
    <row r="30" spans="1:100" ht="16.5" hidden="1" thickBot="1">
      <c r="A30" s="403"/>
      <c r="B30" s="413" t="s">
        <v>157</v>
      </c>
      <c r="C30" s="5" t="str">
        <f>IF(parametry!B111=TRUE,IFERROR(IF(OR(Osvetlení!D43=0,Osvetlení!D43=Osvetlení!D44,Osvetlení!D44=0),"Doplňte list Osvětlení","List Osvětlení je celý vyplněn"),"Doplňte list Osvětlení"),"")</f>
        <v/>
      </c>
      <c r="D30" s="5"/>
      <c r="E30" s="169"/>
      <c r="F30" s="170"/>
      <c r="G30" s="171"/>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row>
    <row r="31" spans="1:100" ht="16.5" hidden="1" thickBot="1">
      <c r="A31" s="403"/>
      <c r="B31" s="413" t="s">
        <v>918</v>
      </c>
      <c r="C31" s="5" t="str">
        <f>IF(parametry!B112=FALSE,"",IF(AND(FVE!E4&lt;&gt;0,FVE!E5&lt;&gt;0,OR(FVE!E8&lt;&gt;0,FVE!E7&lt;&gt;0),FVE!E6&lt;&gt;""),"List FVE je celý vyplněn","Doplňte list FVE"))</f>
        <v/>
      </c>
      <c r="D31" s="5"/>
      <c r="E31" s="169"/>
      <c r="F31" s="170"/>
      <c r="G31" s="171"/>
      <c r="I31" s="415"/>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row>
    <row r="32" spans="1:100" ht="15.75" thickBot="1">
      <c r="A32" s="403"/>
      <c r="B32" s="5"/>
      <c r="C32" s="5"/>
      <c r="D32" s="5"/>
      <c r="E32" s="169"/>
      <c r="F32" s="170"/>
      <c r="G32" s="171"/>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row>
    <row r="33" spans="1:100" ht="16.149999999999999" customHeight="1" thickBot="1">
      <c r="A33" s="403"/>
      <c r="B33" s="177" t="s">
        <v>800</v>
      </c>
      <c r="C33" s="177"/>
      <c r="D33" s="177"/>
      <c r="E33" s="169"/>
      <c r="F33" s="170"/>
      <c r="G33" s="171"/>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row>
    <row r="34" spans="1:100" ht="25.9" customHeight="1" thickBot="1">
      <c r="A34" s="403"/>
      <c r="B34" s="179"/>
      <c r="C34" s="608" t="s">
        <v>173</v>
      </c>
      <c r="D34" s="609"/>
      <c r="E34" s="169"/>
      <c r="F34" s="170"/>
      <c r="G34" s="171"/>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row>
    <row r="35" spans="1:100" ht="25.9" customHeight="1" thickBot="1">
      <c r="A35" s="403"/>
      <c r="B35" s="179"/>
      <c r="C35" s="180" t="s">
        <v>3</v>
      </c>
      <c r="D35" s="181" t="s">
        <v>1</v>
      </c>
      <c r="E35" s="169"/>
      <c r="F35" s="170"/>
      <c r="G35" s="171"/>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row>
    <row r="36" spans="1:100" ht="25.9" customHeight="1" thickBot="1">
      <c r="A36" s="403"/>
      <c r="B36" s="182" t="s">
        <v>626</v>
      </c>
      <c r="C36" s="213" t="str">
        <f>IF(kontrola=TRUE,D36/3.6*1000,"")</f>
        <v/>
      </c>
      <c r="D36" s="213" t="str">
        <f>IF(kontrola=TRUE,parametry!O84,"")</f>
        <v/>
      </c>
      <c r="E36" s="169"/>
      <c r="F36" s="170"/>
      <c r="G36" s="171"/>
      <c r="H36" s="416"/>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row>
    <row r="37" spans="1:100" ht="25.9" customHeight="1" thickBot="1">
      <c r="A37" s="403"/>
      <c r="B37" s="182" t="s">
        <v>627</v>
      </c>
      <c r="C37" s="213" t="str">
        <f>IF(kontrola=TRUE,D37/3.6*1000,"")</f>
        <v/>
      </c>
      <c r="D37" s="213" t="str">
        <f>IF(kontrola=TRUE,parametry!O85,"")</f>
        <v/>
      </c>
      <c r="E37" s="169"/>
      <c r="F37" s="170"/>
      <c r="G37" s="171"/>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row>
    <row r="38" spans="1:100" ht="25.9" customHeight="1" thickBot="1">
      <c r="A38" s="403"/>
      <c r="B38" s="183" t="s">
        <v>628</v>
      </c>
      <c r="C38" s="213" t="str">
        <f>IF(C36="","",C36-C37)</f>
        <v/>
      </c>
      <c r="D38" s="213" t="str">
        <f>IF(D36="","",D36-D37)</f>
        <v/>
      </c>
      <c r="E38" s="169"/>
      <c r="F38" s="170"/>
      <c r="G38" s="171"/>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row>
    <row r="39" spans="1:100" ht="25.9" hidden="1" customHeight="1" thickBot="1">
      <c r="A39" s="403"/>
      <c r="B39" s="183" t="s">
        <v>929</v>
      </c>
      <c r="C39" s="553">
        <f>IF(kontrola=TRUE,IF(parametry!B112,FVE!E5,0),0)</f>
        <v>0</v>
      </c>
      <c r="D39" s="554">
        <f>C39*3.6/1000</f>
        <v>0</v>
      </c>
      <c r="E39" s="169"/>
      <c r="F39" s="170"/>
      <c r="G39" s="171"/>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row>
    <row r="40" spans="1:100" ht="25.9" hidden="1" customHeight="1" thickBot="1">
      <c r="A40" s="403"/>
      <c r="B40" s="183" t="s">
        <v>930</v>
      </c>
      <c r="C40" s="553">
        <f>IF(kontrola=TRUE,Osvetlení!D45-Zateplení!D113+Kotel!D36+C39,0)</f>
        <v>0</v>
      </c>
      <c r="D40" s="554">
        <f>C40*3.6/1000</f>
        <v>0</v>
      </c>
      <c r="E40" s="169"/>
      <c r="F40" s="170"/>
      <c r="G40" s="171"/>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row>
    <row r="41" spans="1:100" ht="25.9" customHeight="1" thickBot="1">
      <c r="A41" s="403"/>
      <c r="B41" s="183" t="s">
        <v>630</v>
      </c>
      <c r="C41" s="604">
        <f>IFERROR(C38/C36,0)</f>
        <v>0</v>
      </c>
      <c r="D41" s="605"/>
      <c r="E41" s="169"/>
      <c r="F41" s="170"/>
      <c r="G41" s="171"/>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row>
    <row r="42" spans="1:100" ht="25.9" customHeight="1" thickBot="1">
      <c r="A42" s="403"/>
      <c r="B42" s="183" t="s">
        <v>853</v>
      </c>
      <c r="C42" s="597">
        <f>IF(kontrola=TRUE,parametry!O89,0)</f>
        <v>0</v>
      </c>
      <c r="D42" s="598"/>
      <c r="E42" s="169"/>
      <c r="F42" s="170"/>
      <c r="G42" s="171"/>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row>
    <row r="43" spans="1:100" ht="25.9" customHeight="1" thickBot="1">
      <c r="A43" s="403"/>
      <c r="B43" s="183" t="s">
        <v>854</v>
      </c>
      <c r="C43" s="599">
        <f>IF(kontrola=TRUE,parametry!O89/parametry!O87,0)</f>
        <v>0</v>
      </c>
      <c r="D43" s="600"/>
      <c r="E43" s="169"/>
      <c r="F43" s="170"/>
      <c r="G43" s="171"/>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row>
    <row r="44" spans="1:100" ht="25.9" customHeight="1" thickBot="1">
      <c r="A44" s="403"/>
      <c r="B44" s="183" t="s">
        <v>851</v>
      </c>
      <c r="C44" s="235"/>
      <c r="D44" s="257">
        <f>parametry!O95</f>
        <v>0</v>
      </c>
      <c r="E44" s="169"/>
      <c r="F44" s="170"/>
      <c r="G44" s="171"/>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row>
    <row r="45" spans="1:100" ht="37.5" customHeight="1" thickBot="1">
      <c r="A45" s="403"/>
      <c r="B45" s="183" t="s">
        <v>852</v>
      </c>
      <c r="C45" s="235"/>
      <c r="D45" s="257">
        <f>parametry!O98</f>
        <v>0</v>
      </c>
      <c r="E45" s="169"/>
      <c r="F45" s="170"/>
      <c r="G45" s="171"/>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row>
    <row r="46" spans="1:100" s="399" customFormat="1" ht="35.25" thickBot="1">
      <c r="B46" s="183" t="s">
        <v>855</v>
      </c>
      <c r="C46" s="235"/>
      <c r="D46" s="257">
        <f>parametry!O101</f>
        <v>0</v>
      </c>
      <c r="E46" s="169"/>
      <c r="F46" s="170"/>
      <c r="G46" s="171"/>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row>
    <row r="47" spans="1:100" s="399" customFormat="1" ht="46.15" customHeight="1" thickBot="1">
      <c r="B47" s="183" t="s">
        <v>639</v>
      </c>
      <c r="C47" s="601">
        <f>IF(kontrola=TRUE,parametry!O92,0)</f>
        <v>0</v>
      </c>
      <c r="D47" s="601"/>
      <c r="E47" s="169"/>
      <c r="F47" s="170"/>
      <c r="G47" s="171"/>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row>
    <row r="48" spans="1:100" ht="25.15" customHeight="1" thickBot="1">
      <c r="A48" s="403"/>
      <c r="B48" s="175"/>
      <c r="C48" s="176"/>
      <c r="D48" s="176"/>
      <c r="E48" s="545"/>
      <c r="F48" s="546"/>
      <c r="G48" s="547"/>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row>
    <row r="49" spans="1:100" ht="16.149999999999999" customHeight="1">
      <c r="A49" s="403"/>
      <c r="B49" s="184" t="s">
        <v>641</v>
      </c>
      <c r="C49" s="610" t="str">
        <f>IF(D25&gt;3000000,"Projekt je NEZPŮSOBILÝ k realizaci v programu Úspory energie",IF(D36="","Nejsou zadána všechna data",IF(parametry!O86&gt;parametry!O84,"Projekt není zadán správně. Opravte zadané parametry opatření (plochy zateplovaných konstrukcí, tloušťky izolací, větraný objem) a budovy (vytápěná plocha, spotřeba energie před realizací)",IF(AND(C41&gt;10%,'opatření k realizaci'!J17="Všechna opatření splňují požadavky programu"),IF(C39&lt;=C38,IF(FVE!E6="ano","Projekt je způsobilý k realizaci v programu Úspory energie",IF(FVE!E6="ne",IFERROR(IF((FVE!E5/FVE!E8&lt;=0.2),"Projekt je způsobilý k realizaci v programu Úspory energie","Projekt je NEZPŮSOBILÝ k realizaci v programu Úspory energie"),"Projekt je NEZPŮSOBILÝ k realizaci v programu Úspory energie"),"Projekt je NEZPŮSOBILÝ k realizaci v programu Úspory energie")),"Projekt je NEZPŮSOBILÝ k realizaci v programu Úspory energie"),"Projekt je NEZPŮSOBILÝ k realizaci v programu Úspory energie"))))</f>
        <v>Nejsou zadána všechna data</v>
      </c>
      <c r="D49" s="610"/>
      <c r="F49" s="557"/>
      <c r="G49" s="548"/>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row>
    <row r="50" spans="1:100" ht="16.149999999999999" customHeight="1">
      <c r="A50" s="403"/>
      <c r="B50" s="403"/>
      <c r="C50" s="403"/>
      <c r="D50" s="403"/>
      <c r="E50" s="403"/>
      <c r="F50" s="403"/>
      <c r="G50" s="403"/>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row>
    <row r="51" spans="1:100" s="420" customFormat="1" ht="27" customHeight="1" thickBot="1">
      <c r="A51" s="418">
        <v>1</v>
      </c>
      <c r="B51" s="177" t="s">
        <v>801</v>
      </c>
      <c r="C51" s="177"/>
      <c r="D51" s="177"/>
      <c r="E51" s="177"/>
      <c r="F51" s="177"/>
      <c r="G51" s="177"/>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row>
    <row r="52" spans="1:100" ht="27" customHeight="1">
      <c r="A52" s="421">
        <v>2</v>
      </c>
      <c r="B52" s="185" t="s">
        <v>623</v>
      </c>
      <c r="C52" s="595" t="s">
        <v>230</v>
      </c>
      <c r="D52" s="606"/>
      <c r="E52" s="595" t="s">
        <v>668</v>
      </c>
      <c r="F52" s="596"/>
      <c r="G52" s="417"/>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row>
    <row r="53" spans="1:100" ht="27" customHeight="1">
      <c r="A53" s="421">
        <v>3</v>
      </c>
      <c r="B53" s="211" t="str">
        <f>'opatření k realizaci'!C21</f>
        <v/>
      </c>
      <c r="C53" s="574" t="str">
        <f>'opatření k realizaci'!D21</f>
        <v/>
      </c>
      <c r="D53" s="574"/>
      <c r="E53" s="574" t="str">
        <f>'opatření k realizaci'!E21</f>
        <v/>
      </c>
      <c r="F53" s="575"/>
      <c r="G53" s="575"/>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row>
    <row r="54" spans="1:100" ht="27" customHeight="1">
      <c r="A54" s="421">
        <v>4</v>
      </c>
      <c r="B54" s="212" t="str">
        <f>'opatření k realizaci'!C22</f>
        <v/>
      </c>
      <c r="C54" s="576" t="str">
        <f>'opatření k realizaci'!D22</f>
        <v/>
      </c>
      <c r="D54" s="576"/>
      <c r="E54" s="576" t="str">
        <f>'opatření k realizaci'!E22</f>
        <v/>
      </c>
      <c r="F54" s="577"/>
      <c r="G54" s="577"/>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row>
    <row r="55" spans="1:100" ht="27" customHeight="1">
      <c r="A55" s="421">
        <v>5</v>
      </c>
      <c r="B55" s="212" t="str">
        <f>'opatření k realizaci'!C23</f>
        <v/>
      </c>
      <c r="C55" s="576" t="str">
        <f>'opatření k realizaci'!D23</f>
        <v/>
      </c>
      <c r="D55" s="576"/>
      <c r="E55" s="576" t="str">
        <f>'opatření k realizaci'!E23</f>
        <v/>
      </c>
      <c r="F55" s="577"/>
      <c r="G55" s="577"/>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row>
    <row r="56" spans="1:100" ht="27" customHeight="1">
      <c r="A56" s="421">
        <v>6</v>
      </c>
      <c r="B56" s="212" t="str">
        <f>'opatření k realizaci'!C24</f>
        <v/>
      </c>
      <c r="C56" s="576" t="str">
        <f>'opatření k realizaci'!D24</f>
        <v/>
      </c>
      <c r="D56" s="576"/>
      <c r="E56" s="576" t="str">
        <f>'opatření k realizaci'!E24</f>
        <v/>
      </c>
      <c r="F56" s="577"/>
      <c r="G56" s="577"/>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row>
    <row r="57" spans="1:100" ht="27" customHeight="1">
      <c r="A57" s="421">
        <v>7</v>
      </c>
      <c r="B57" s="212" t="str">
        <f>'opatření k realizaci'!C25</f>
        <v/>
      </c>
      <c r="C57" s="576" t="str">
        <f>'opatření k realizaci'!D25</f>
        <v/>
      </c>
      <c r="D57" s="576"/>
      <c r="E57" s="576" t="str">
        <f>'opatření k realizaci'!E25</f>
        <v/>
      </c>
      <c r="F57" s="577"/>
      <c r="G57" s="577"/>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row>
    <row r="58" spans="1:100" ht="27" customHeight="1">
      <c r="A58" s="421">
        <v>8</v>
      </c>
      <c r="B58" s="212" t="str">
        <f>'opatření k realizaci'!C26</f>
        <v/>
      </c>
      <c r="C58" s="576" t="str">
        <f>'opatření k realizaci'!D26</f>
        <v/>
      </c>
      <c r="D58" s="576"/>
      <c r="E58" s="576" t="str">
        <f>'opatření k realizaci'!E26</f>
        <v/>
      </c>
      <c r="F58" s="577"/>
      <c r="G58" s="577"/>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row>
    <row r="59" spans="1:100" ht="27" customHeight="1">
      <c r="A59" s="421">
        <v>9</v>
      </c>
      <c r="B59" s="212" t="str">
        <f>'opatření k realizaci'!C27</f>
        <v/>
      </c>
      <c r="C59" s="576" t="str">
        <f>'opatření k realizaci'!D27</f>
        <v/>
      </c>
      <c r="D59" s="576"/>
      <c r="E59" s="576" t="str">
        <f>'opatření k realizaci'!E27</f>
        <v/>
      </c>
      <c r="F59" s="577"/>
      <c r="G59" s="577"/>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row>
    <row r="60" spans="1:100" ht="27" customHeight="1">
      <c r="A60" s="421">
        <v>10</v>
      </c>
      <c r="B60" s="212" t="str">
        <f>'opatření k realizaci'!C28</f>
        <v/>
      </c>
      <c r="C60" s="576" t="str">
        <f>'opatření k realizaci'!D28</f>
        <v/>
      </c>
      <c r="D60" s="576"/>
      <c r="E60" s="576" t="str">
        <f>'opatření k realizaci'!E28</f>
        <v/>
      </c>
      <c r="F60" s="577"/>
      <c r="G60" s="577"/>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row>
    <row r="61" spans="1:100" ht="27" customHeight="1">
      <c r="A61" s="421">
        <v>11</v>
      </c>
      <c r="B61" s="212" t="str">
        <f>'opatření k realizaci'!C29</f>
        <v/>
      </c>
      <c r="C61" s="576" t="str">
        <f>'opatření k realizaci'!D29</f>
        <v/>
      </c>
      <c r="D61" s="576"/>
      <c r="E61" s="576" t="str">
        <f>'opatření k realizaci'!E29</f>
        <v/>
      </c>
      <c r="F61" s="577"/>
      <c r="G61" s="577"/>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row>
    <row r="62" spans="1:100" ht="27" customHeight="1">
      <c r="A62" s="421">
        <v>12</v>
      </c>
      <c r="B62" s="212" t="str">
        <f>'opatření k realizaci'!C30</f>
        <v/>
      </c>
      <c r="C62" s="576" t="str">
        <f>'opatření k realizaci'!D30</f>
        <v/>
      </c>
      <c r="D62" s="576"/>
      <c r="E62" s="576" t="str">
        <f>'opatření k realizaci'!E30</f>
        <v/>
      </c>
      <c r="F62" s="577"/>
      <c r="G62" s="577"/>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row>
    <row r="63" spans="1:100" ht="27" customHeight="1">
      <c r="A63" s="421">
        <v>13</v>
      </c>
      <c r="B63" s="212" t="str">
        <f>'opatření k realizaci'!C31</f>
        <v/>
      </c>
      <c r="C63" s="576" t="str">
        <f>'opatření k realizaci'!D31</f>
        <v/>
      </c>
      <c r="D63" s="576"/>
      <c r="E63" s="576" t="str">
        <f>'opatření k realizaci'!E31</f>
        <v/>
      </c>
      <c r="F63" s="577"/>
      <c r="G63" s="577"/>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row>
    <row r="64" spans="1:100" ht="27" customHeight="1">
      <c r="A64" s="421">
        <v>14</v>
      </c>
      <c r="B64" s="212" t="str">
        <f>'opatření k realizaci'!C32</f>
        <v/>
      </c>
      <c r="C64" s="576" t="str">
        <f>'opatření k realizaci'!D32</f>
        <v/>
      </c>
      <c r="D64" s="576"/>
      <c r="E64" s="576" t="str">
        <f>'opatření k realizaci'!E32</f>
        <v/>
      </c>
      <c r="F64" s="577"/>
      <c r="G64" s="577"/>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row>
    <row r="65" spans="1:100">
      <c r="A65" s="403"/>
      <c r="B65" s="212" t="str">
        <f>'opatření k realizaci'!C33</f>
        <v/>
      </c>
      <c r="C65" s="576" t="str">
        <f>'opatření k realizaci'!D33</f>
        <v/>
      </c>
      <c r="D65" s="576"/>
      <c r="E65" s="576" t="str">
        <f>'opatření k realizaci'!E33</f>
        <v/>
      </c>
      <c r="F65" s="577"/>
      <c r="G65" s="577"/>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row>
    <row r="66" spans="1:100">
      <c r="A66" s="403"/>
      <c r="B66" s="212" t="str">
        <f>'opatření k realizaci'!C34</f>
        <v/>
      </c>
      <c r="C66" s="576" t="str">
        <f>'opatření k realizaci'!D34</f>
        <v/>
      </c>
      <c r="D66" s="576"/>
      <c r="E66" s="576" t="str">
        <f>'opatření k realizaci'!E34</f>
        <v/>
      </c>
      <c r="F66" s="577"/>
      <c r="G66" s="577"/>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row>
    <row r="67" spans="1:100">
      <c r="A67" s="403"/>
      <c r="B67" s="403"/>
      <c r="C67" s="403"/>
      <c r="D67" s="403"/>
      <c r="E67" s="403"/>
      <c r="F67" s="403"/>
      <c r="G67" s="403"/>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row>
    <row r="68" spans="1:100">
      <c r="A68" s="403"/>
      <c r="B68" s="403"/>
      <c r="C68" s="403"/>
      <c r="D68" s="403"/>
      <c r="E68" s="403"/>
      <c r="F68" s="403"/>
      <c r="G68" s="403"/>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row>
    <row r="69" spans="1:100">
      <c r="A69" s="403"/>
      <c r="B69" s="448"/>
      <c r="C69" s="403"/>
      <c r="D69" s="403"/>
      <c r="E69" s="403"/>
      <c r="F69" s="403"/>
      <c r="G69" s="403"/>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row>
    <row r="70" spans="1:100">
      <c r="A70" s="403"/>
      <c r="B70" s="403"/>
      <c r="C70" s="403"/>
      <c r="D70" s="403"/>
      <c r="E70" s="403"/>
      <c r="F70" s="403"/>
      <c r="G70" s="403"/>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row>
    <row r="71" spans="1:100">
      <c r="A71" s="403"/>
      <c r="B71" s="403"/>
      <c r="C71" s="403"/>
      <c r="D71" s="403"/>
      <c r="E71" s="403"/>
      <c r="F71" s="403"/>
      <c r="G71" s="403"/>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row>
    <row r="72" spans="1:100">
      <c r="A72" s="403"/>
      <c r="B72" s="403"/>
      <c r="C72" s="403"/>
      <c r="D72" s="403"/>
      <c r="E72" s="403"/>
      <c r="F72" s="403"/>
      <c r="G72" s="403"/>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row>
    <row r="73" spans="1:100">
      <c r="A73" s="403"/>
      <c r="B73" s="403"/>
      <c r="C73" s="403"/>
      <c r="D73" s="403"/>
      <c r="E73" s="403"/>
      <c r="F73" s="403"/>
      <c r="G73" s="403"/>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row>
    <row r="74" spans="1:100">
      <c r="A74" s="403"/>
      <c r="B74" s="492"/>
      <c r="C74" s="403"/>
      <c r="D74" s="403"/>
      <c r="E74" s="403"/>
      <c r="F74" s="403"/>
      <c r="G74" s="403"/>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row>
    <row r="75" spans="1:100">
      <c r="A75" s="403"/>
      <c r="B75" s="490" t="s">
        <v>894</v>
      </c>
      <c r="C75" s="403"/>
      <c r="D75" s="403"/>
      <c r="E75" s="403"/>
      <c r="F75" s="403"/>
      <c r="G75" s="403"/>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row>
    <row r="76" spans="1:100">
      <c r="A76" s="403"/>
      <c r="B76" s="491"/>
      <c r="C76" s="403"/>
      <c r="D76" s="403"/>
      <c r="E76" s="403"/>
      <c r="F76" s="403"/>
      <c r="G76" s="403"/>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row>
    <row r="77" spans="1:100">
      <c r="A77" s="403"/>
      <c r="B77" s="403"/>
      <c r="C77" s="403"/>
      <c r="D77" s="403"/>
      <c r="E77" s="403"/>
      <c r="F77" s="403"/>
      <c r="G77" s="403"/>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row>
    <row r="78" spans="1:100">
      <c r="A78" s="403"/>
      <c r="B78" s="403"/>
      <c r="C78" s="403"/>
      <c r="D78" s="403"/>
      <c r="E78" s="403"/>
      <c r="F78" s="403"/>
      <c r="G78" s="403"/>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row>
    <row r="79" spans="1:100">
      <c r="A79" s="403"/>
      <c r="B79" s="403"/>
      <c r="C79" s="403"/>
      <c r="D79" s="403"/>
      <c r="E79" s="403"/>
      <c r="F79" s="403"/>
      <c r="G79" s="403"/>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row>
    <row r="80" spans="1:100">
      <c r="A80" s="403"/>
      <c r="B80" s="403"/>
      <c r="C80" s="403"/>
      <c r="D80" s="403"/>
      <c r="E80" s="403"/>
      <c r="F80" s="403"/>
      <c r="G80" s="403"/>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row>
    <row r="81" spans="1:100">
      <c r="A81" s="403"/>
      <c r="B81" s="403"/>
      <c r="C81" s="403"/>
      <c r="D81" s="403"/>
      <c r="E81" s="403"/>
      <c r="F81" s="403"/>
      <c r="G81" s="403"/>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row>
    <row r="82" spans="1:100">
      <c r="A82" s="403"/>
      <c r="B82" s="403"/>
      <c r="C82" s="403"/>
      <c r="D82" s="403"/>
      <c r="E82" s="403"/>
      <c r="F82" s="403"/>
      <c r="G82" s="403"/>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row>
    <row r="83" spans="1:100">
      <c r="A83" s="403"/>
      <c r="B83" s="403"/>
      <c r="C83" s="403"/>
      <c r="D83" s="403"/>
      <c r="E83" s="403"/>
      <c r="F83" s="403"/>
      <c r="G83" s="403"/>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row>
    <row r="84" spans="1:100">
      <c r="A84" s="403"/>
      <c r="B84" s="403"/>
      <c r="C84" s="403"/>
      <c r="D84" s="403"/>
      <c r="E84" s="403"/>
      <c r="F84" s="403"/>
      <c r="G84" s="403"/>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row>
    <row r="85" spans="1:100">
      <c r="A85" s="403"/>
      <c r="B85" s="403"/>
      <c r="C85" s="403"/>
      <c r="D85" s="403"/>
      <c r="E85" s="403"/>
      <c r="F85" s="403"/>
      <c r="G85" s="403"/>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row>
    <row r="86" spans="1:100">
      <c r="A86" s="403"/>
      <c r="B86" s="403"/>
      <c r="C86" s="403"/>
      <c r="D86" s="403"/>
      <c r="E86" s="403"/>
      <c r="F86" s="403"/>
      <c r="G86" s="403"/>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row>
    <row r="87" spans="1:100">
      <c r="A87" s="403"/>
      <c r="B87" s="403"/>
      <c r="C87" s="403"/>
      <c r="D87" s="403"/>
      <c r="E87" s="403"/>
      <c r="F87" s="403"/>
      <c r="G87" s="403"/>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row>
    <row r="88" spans="1:100">
      <c r="A88" s="403"/>
      <c r="B88" s="403"/>
      <c r="C88" s="403"/>
      <c r="D88" s="403"/>
      <c r="E88" s="403"/>
      <c r="F88" s="403"/>
      <c r="G88" s="403"/>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row>
    <row r="89" spans="1:100">
      <c r="A89" s="403"/>
      <c r="B89" s="403"/>
      <c r="C89" s="403"/>
      <c r="D89" s="403"/>
      <c r="E89" s="403"/>
      <c r="F89" s="403"/>
      <c r="G89" s="403"/>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row>
    <row r="90" spans="1:100">
      <c r="A90" s="403"/>
      <c r="B90" s="403"/>
      <c r="C90" s="403"/>
      <c r="D90" s="403"/>
      <c r="E90" s="403"/>
      <c r="F90" s="403"/>
      <c r="G90" s="403"/>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2"/>
      <c r="CV90" s="262"/>
    </row>
    <row r="91" spans="1:100">
      <c r="A91" s="403"/>
      <c r="B91" s="403"/>
      <c r="C91" s="403"/>
      <c r="D91" s="403"/>
      <c r="E91" s="403"/>
      <c r="F91" s="403"/>
      <c r="G91" s="403"/>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c r="BS91" s="262"/>
      <c r="BT91" s="262"/>
      <c r="BU91" s="262"/>
      <c r="BV91" s="262"/>
      <c r="BW91" s="262"/>
      <c r="BX91" s="262"/>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2"/>
      <c r="CV91" s="262"/>
    </row>
    <row r="92" spans="1:100">
      <c r="A92" s="403"/>
      <c r="B92" s="403"/>
      <c r="C92" s="403"/>
      <c r="D92" s="403"/>
      <c r="E92" s="403"/>
      <c r="F92" s="403"/>
      <c r="G92" s="403"/>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2"/>
      <c r="CV92" s="262"/>
    </row>
    <row r="93" spans="1:100">
      <c r="A93" s="403"/>
      <c r="B93" s="403"/>
      <c r="C93" s="403"/>
      <c r="D93" s="403"/>
      <c r="E93" s="403"/>
      <c r="F93" s="403"/>
      <c r="G93" s="403"/>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262"/>
      <c r="BT93" s="262"/>
      <c r="BU93" s="262"/>
      <c r="BV93" s="262"/>
      <c r="BW93" s="262"/>
      <c r="BX93" s="262"/>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2"/>
      <c r="CV93" s="262"/>
    </row>
    <row r="94" spans="1:100">
      <c r="A94" s="403"/>
      <c r="B94" s="403"/>
      <c r="C94" s="403"/>
      <c r="D94" s="403"/>
      <c r="E94" s="403"/>
      <c r="F94" s="403"/>
      <c r="G94" s="403"/>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2"/>
      <c r="CV94" s="262"/>
    </row>
    <row r="95" spans="1:100">
      <c r="A95" s="403"/>
      <c r="B95" s="403"/>
      <c r="C95" s="403"/>
      <c r="D95" s="403"/>
      <c r="E95" s="403"/>
      <c r="F95" s="403"/>
      <c r="G95" s="403"/>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2"/>
      <c r="BX95" s="262"/>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2"/>
      <c r="CV95" s="262"/>
    </row>
    <row r="96" spans="1:100">
      <c r="A96" s="403"/>
      <c r="B96" s="403"/>
      <c r="C96" s="403"/>
      <c r="D96" s="403"/>
      <c r="E96" s="403"/>
      <c r="F96" s="403"/>
      <c r="G96" s="403"/>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2"/>
      <c r="CV96" s="262"/>
    </row>
    <row r="97" spans="1:100">
      <c r="A97" s="403"/>
      <c r="B97" s="403"/>
      <c r="C97" s="403"/>
      <c r="D97" s="403"/>
      <c r="E97" s="403"/>
      <c r="F97" s="403"/>
      <c r="G97" s="403"/>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62"/>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2"/>
      <c r="CV97" s="262"/>
    </row>
    <row r="98" spans="1:100">
      <c r="A98" s="403"/>
      <c r="B98" s="403"/>
      <c r="C98" s="403"/>
      <c r="D98" s="403"/>
      <c r="E98" s="403"/>
      <c r="F98" s="403"/>
      <c r="G98" s="403"/>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262"/>
      <c r="BT98" s="262"/>
      <c r="BU98" s="262"/>
      <c r="BV98" s="262"/>
      <c r="BW98" s="262"/>
      <c r="BX98" s="262"/>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2"/>
      <c r="CV98" s="262"/>
    </row>
    <row r="99" spans="1:100">
      <c r="A99" s="403"/>
      <c r="B99" s="403"/>
      <c r="C99" s="403"/>
      <c r="D99" s="403"/>
      <c r="E99" s="403"/>
      <c r="F99" s="403"/>
      <c r="G99" s="403"/>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62"/>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2"/>
      <c r="CV99" s="262"/>
    </row>
    <row r="100" spans="1:100">
      <c r="B100" s="403"/>
      <c r="C100" s="403"/>
      <c r="D100" s="403"/>
      <c r="E100" s="403"/>
      <c r="F100" s="403"/>
      <c r="G100" s="403"/>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2"/>
      <c r="BU100" s="262"/>
      <c r="BV100" s="262"/>
      <c r="BW100" s="262"/>
      <c r="BX100" s="262"/>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2"/>
      <c r="CV100" s="262"/>
    </row>
    <row r="101" spans="1:100">
      <c r="A101" s="403"/>
      <c r="B101" s="403"/>
      <c r="C101" s="403"/>
      <c r="D101" s="403"/>
      <c r="E101" s="403"/>
      <c r="F101" s="403"/>
      <c r="G101" s="403"/>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2"/>
      <c r="CV101" s="262"/>
    </row>
    <row r="102" spans="1:100">
      <c r="A102" s="403"/>
      <c r="B102" s="403"/>
      <c r="C102" s="403"/>
      <c r="D102" s="403"/>
      <c r="E102" s="403"/>
      <c r="F102" s="403"/>
      <c r="G102" s="403"/>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262"/>
      <c r="BT102" s="262"/>
      <c r="BU102" s="262"/>
      <c r="BV102" s="262"/>
      <c r="BW102" s="262"/>
      <c r="BX102" s="262"/>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2"/>
      <c r="CV102" s="262"/>
    </row>
    <row r="103" spans="1:100">
      <c r="A103" s="403"/>
      <c r="B103" s="403"/>
      <c r="C103" s="403"/>
      <c r="D103" s="403"/>
      <c r="E103" s="403"/>
      <c r="F103" s="403"/>
      <c r="G103" s="403"/>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row>
    <row r="104" spans="1:100">
      <c r="A104" s="403"/>
      <c r="B104" s="403"/>
      <c r="C104" s="403"/>
      <c r="D104" s="403"/>
      <c r="E104" s="403"/>
      <c r="F104" s="403"/>
      <c r="G104" s="403"/>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row>
    <row r="105" spans="1:100">
      <c r="A105" s="403"/>
      <c r="B105" s="403"/>
      <c r="C105" s="403"/>
      <c r="D105" s="403"/>
      <c r="E105" s="403"/>
      <c r="F105" s="403"/>
      <c r="G105" s="403"/>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row>
    <row r="106" spans="1:100">
      <c r="A106" s="403"/>
      <c r="B106" s="403"/>
      <c r="C106" s="403"/>
      <c r="D106" s="403"/>
      <c r="E106" s="403"/>
      <c r="F106" s="403"/>
      <c r="G106" s="403"/>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row>
    <row r="107" spans="1:100">
      <c r="A107" s="403"/>
      <c r="B107" s="403"/>
      <c r="C107" s="403"/>
      <c r="D107" s="403"/>
      <c r="E107" s="403"/>
      <c r="F107" s="403"/>
      <c r="G107" s="403"/>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2"/>
      <c r="CV107" s="262"/>
    </row>
    <row r="108" spans="1:100">
      <c r="A108" s="403"/>
      <c r="B108" s="403"/>
      <c r="C108" s="403"/>
      <c r="D108" s="403"/>
      <c r="E108" s="403"/>
      <c r="F108" s="403"/>
      <c r="G108" s="403"/>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262"/>
      <c r="BT108" s="262"/>
      <c r="BU108" s="262"/>
      <c r="BV108" s="262"/>
      <c r="BW108" s="262"/>
      <c r="BX108" s="262"/>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2"/>
      <c r="CV108" s="262"/>
    </row>
    <row r="109" spans="1:100">
      <c r="A109" s="403"/>
      <c r="B109" s="403"/>
      <c r="C109" s="403"/>
      <c r="D109" s="403"/>
      <c r="E109" s="403"/>
      <c r="F109" s="403"/>
      <c r="G109" s="403"/>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262"/>
      <c r="BT109" s="262"/>
      <c r="BU109" s="262"/>
      <c r="BV109" s="262"/>
      <c r="BW109" s="262"/>
      <c r="BX109" s="262"/>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2"/>
      <c r="CV109" s="262"/>
    </row>
    <row r="110" spans="1:100">
      <c r="A110" s="403"/>
      <c r="B110" s="403"/>
      <c r="C110" s="403"/>
      <c r="D110" s="403"/>
      <c r="E110" s="403"/>
      <c r="F110" s="403"/>
      <c r="G110" s="403"/>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c r="BS110" s="262"/>
      <c r="BT110" s="262"/>
      <c r="BU110" s="262"/>
      <c r="BV110" s="262"/>
      <c r="BW110" s="262"/>
      <c r="BX110" s="262"/>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2"/>
      <c r="CV110" s="262"/>
    </row>
    <row r="111" spans="1:100">
      <c r="A111" s="403"/>
      <c r="B111" s="403"/>
      <c r="C111" s="403"/>
      <c r="D111" s="403"/>
      <c r="E111" s="403"/>
      <c r="F111" s="403"/>
      <c r="G111" s="403"/>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c r="BS111" s="262"/>
      <c r="BT111" s="262"/>
      <c r="BU111" s="262"/>
      <c r="BV111" s="262"/>
      <c r="BW111" s="262"/>
      <c r="BX111" s="262"/>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2"/>
      <c r="CV111" s="262"/>
    </row>
    <row r="112" spans="1:100">
      <c r="A112" s="403"/>
      <c r="B112" s="403"/>
      <c r="C112" s="403"/>
      <c r="D112" s="403"/>
      <c r="E112" s="403"/>
      <c r="F112" s="403"/>
      <c r="G112" s="403"/>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c r="BS112" s="262"/>
      <c r="BT112" s="262"/>
      <c r="BU112" s="262"/>
      <c r="BV112" s="262"/>
      <c r="BW112" s="262"/>
      <c r="BX112" s="262"/>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2"/>
      <c r="CV112" s="262"/>
    </row>
    <row r="113" spans="1:100">
      <c r="A113" s="403"/>
      <c r="B113" s="403"/>
      <c r="C113" s="403"/>
      <c r="D113" s="403"/>
      <c r="E113" s="403"/>
      <c r="F113" s="403"/>
      <c r="G113" s="403"/>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2"/>
      <c r="CV113" s="262"/>
    </row>
    <row r="114" spans="1:100">
      <c r="A114" s="403"/>
      <c r="B114" s="403"/>
      <c r="C114" s="403"/>
      <c r="D114" s="403"/>
      <c r="E114" s="403"/>
      <c r="F114" s="403"/>
      <c r="G114" s="403"/>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c r="BS114" s="262"/>
      <c r="BT114" s="262"/>
      <c r="BU114" s="262"/>
      <c r="BV114" s="262"/>
      <c r="BW114" s="262"/>
      <c r="BX114" s="262"/>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2"/>
      <c r="CV114" s="262"/>
    </row>
    <row r="115" spans="1:100">
      <c r="A115" s="403"/>
      <c r="B115" s="403"/>
      <c r="C115" s="403"/>
      <c r="D115" s="403"/>
      <c r="E115" s="403"/>
      <c r="F115" s="403"/>
      <c r="G115" s="403"/>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262"/>
      <c r="BT115" s="262"/>
      <c r="BU115" s="262"/>
      <c r="BV115" s="262"/>
      <c r="BW115" s="262"/>
      <c r="BX115" s="262"/>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2"/>
      <c r="CV115" s="262"/>
    </row>
    <row r="116" spans="1:100">
      <c r="A116" s="403"/>
      <c r="B116" s="403"/>
      <c r="C116" s="403"/>
      <c r="D116" s="403"/>
      <c r="E116" s="403"/>
      <c r="F116" s="403"/>
      <c r="G116" s="403"/>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c r="BS116" s="262"/>
      <c r="BT116" s="262"/>
      <c r="BU116" s="262"/>
      <c r="BV116" s="262"/>
      <c r="BW116" s="262"/>
      <c r="BX116" s="262"/>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2"/>
      <c r="CV116" s="262"/>
    </row>
    <row r="117" spans="1:100">
      <c r="A117" s="403"/>
      <c r="B117" s="403"/>
      <c r="C117" s="403"/>
      <c r="D117" s="403"/>
      <c r="E117" s="403"/>
      <c r="F117" s="403"/>
      <c r="G117" s="403"/>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2"/>
      <c r="CV117" s="262"/>
    </row>
    <row r="118" spans="1:100">
      <c r="A118" s="403"/>
      <c r="B118" s="403"/>
      <c r="C118" s="403"/>
      <c r="D118" s="403"/>
      <c r="E118" s="403"/>
      <c r="F118" s="403"/>
      <c r="G118" s="403"/>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c r="BS118" s="262"/>
      <c r="BT118" s="262"/>
      <c r="BU118" s="262"/>
      <c r="BV118" s="262"/>
      <c r="BW118" s="262"/>
      <c r="BX118" s="262"/>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2"/>
      <c r="CV118" s="262"/>
    </row>
    <row r="119" spans="1:100">
      <c r="A119" s="403"/>
      <c r="B119" s="403"/>
      <c r="C119" s="403"/>
      <c r="D119" s="403"/>
      <c r="E119" s="403"/>
      <c r="F119" s="403"/>
      <c r="G119" s="403"/>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2"/>
      <c r="CV119" s="262"/>
    </row>
    <row r="120" spans="1:100">
      <c r="A120" s="403"/>
      <c r="B120" s="403"/>
      <c r="C120" s="403"/>
      <c r="D120" s="403"/>
      <c r="E120" s="403"/>
      <c r="F120" s="403"/>
      <c r="G120" s="403"/>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2"/>
      <c r="CV120" s="262"/>
    </row>
    <row r="121" spans="1:100">
      <c r="A121" s="403"/>
      <c r="B121" s="403"/>
      <c r="C121" s="403"/>
      <c r="D121" s="403"/>
      <c r="E121" s="403"/>
      <c r="F121" s="403"/>
      <c r="G121" s="403"/>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262"/>
      <c r="BT121" s="262"/>
      <c r="BU121" s="262"/>
      <c r="BV121" s="262"/>
      <c r="BW121" s="262"/>
      <c r="BX121" s="262"/>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2"/>
      <c r="CV121" s="262"/>
    </row>
    <row r="122" spans="1:100">
      <c r="A122" s="403"/>
      <c r="B122" s="403"/>
      <c r="C122" s="403"/>
      <c r="D122" s="403"/>
      <c r="E122" s="403"/>
      <c r="F122" s="403"/>
      <c r="G122" s="403"/>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2"/>
      <c r="CV122" s="262"/>
    </row>
    <row r="123" spans="1:100">
      <c r="A123" s="403"/>
      <c r="B123" s="403"/>
      <c r="C123" s="403"/>
      <c r="D123" s="403"/>
      <c r="E123" s="403"/>
      <c r="F123" s="403"/>
      <c r="G123" s="403"/>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262"/>
      <c r="BT123" s="262"/>
      <c r="BU123" s="262"/>
      <c r="BV123" s="262"/>
      <c r="BW123" s="262"/>
      <c r="BX123" s="262"/>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2"/>
      <c r="CV123" s="262"/>
    </row>
    <row r="124" spans="1:100">
      <c r="A124" s="403"/>
      <c r="B124" s="403"/>
      <c r="C124" s="403"/>
      <c r="D124" s="403"/>
      <c r="E124" s="403"/>
      <c r="F124" s="403"/>
      <c r="G124" s="403"/>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2"/>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2"/>
      <c r="CV124" s="262"/>
    </row>
    <row r="125" spans="1:100">
      <c r="A125" s="403"/>
      <c r="B125" s="403"/>
      <c r="C125" s="403"/>
      <c r="D125" s="403"/>
      <c r="E125" s="403"/>
      <c r="F125" s="403"/>
      <c r="G125" s="403"/>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W125" s="262"/>
      <c r="BX125" s="262"/>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2"/>
      <c r="CV125" s="262"/>
    </row>
    <row r="126" spans="1:100">
      <c r="A126" s="403"/>
      <c r="B126" s="403"/>
      <c r="C126" s="403"/>
      <c r="D126" s="403"/>
      <c r="E126" s="403"/>
      <c r="F126" s="403"/>
      <c r="G126" s="403"/>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2"/>
      <c r="CV126" s="262"/>
    </row>
    <row r="127" spans="1:100">
      <c r="A127" s="403"/>
      <c r="B127" s="403"/>
      <c r="C127" s="403"/>
      <c r="D127" s="403"/>
      <c r="E127" s="403"/>
      <c r="F127" s="403"/>
      <c r="G127" s="403"/>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c r="BS127" s="262"/>
      <c r="BT127" s="262"/>
      <c r="BU127" s="262"/>
      <c r="BV127" s="262"/>
      <c r="BW127" s="262"/>
      <c r="BX127" s="262"/>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2"/>
      <c r="CV127" s="262"/>
    </row>
    <row r="128" spans="1:100">
      <c r="A128" s="403"/>
      <c r="B128" s="403"/>
      <c r="C128" s="403"/>
      <c r="D128" s="403"/>
      <c r="E128" s="403"/>
      <c r="F128" s="403"/>
      <c r="G128" s="403"/>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c r="BS128" s="262"/>
      <c r="BT128" s="262"/>
      <c r="BU128" s="262"/>
      <c r="BV128" s="262"/>
      <c r="BW128" s="262"/>
      <c r="BX128" s="262"/>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2"/>
      <c r="CV128" s="262"/>
    </row>
    <row r="129" spans="1:100">
      <c r="A129" s="403"/>
      <c r="B129" s="403"/>
      <c r="C129" s="403"/>
      <c r="D129" s="403"/>
      <c r="E129" s="403"/>
      <c r="F129" s="403"/>
      <c r="G129" s="403"/>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c r="BS129" s="262"/>
      <c r="BT129" s="262"/>
      <c r="BU129" s="262"/>
      <c r="BV129" s="262"/>
      <c r="BW129" s="262"/>
      <c r="BX129" s="262"/>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row>
    <row r="130" spans="1:100">
      <c r="A130" s="403"/>
      <c r="B130" s="403"/>
      <c r="C130" s="403"/>
      <c r="D130" s="403"/>
      <c r="E130" s="403"/>
      <c r="F130" s="403"/>
      <c r="G130" s="403"/>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c r="BS130" s="262"/>
      <c r="BT130" s="262"/>
      <c r="BU130" s="262"/>
      <c r="BV130" s="262"/>
      <c r="BW130" s="262"/>
      <c r="BX130" s="262"/>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row>
    <row r="131" spans="1:100">
      <c r="A131" s="403"/>
      <c r="B131" s="403"/>
      <c r="C131" s="403"/>
      <c r="D131" s="403"/>
      <c r="E131" s="403"/>
      <c r="F131" s="403"/>
      <c r="G131" s="403"/>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2"/>
      <c r="BU131" s="262"/>
      <c r="BV131" s="262"/>
      <c r="BW131" s="262"/>
      <c r="BX131" s="262"/>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row>
    <row r="132" spans="1:100">
      <c r="A132" s="403"/>
      <c r="B132" s="403"/>
      <c r="C132" s="403"/>
      <c r="D132" s="403"/>
      <c r="E132" s="403"/>
      <c r="F132" s="403"/>
      <c r="G132" s="403"/>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row>
    <row r="133" spans="1:100">
      <c r="A133" s="403"/>
      <c r="B133" s="403"/>
      <c r="C133" s="403"/>
      <c r="D133" s="403"/>
      <c r="E133" s="403"/>
      <c r="F133" s="403"/>
      <c r="G133" s="403"/>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row>
    <row r="134" spans="1:100">
      <c r="A134" s="403"/>
      <c r="B134" s="403"/>
      <c r="C134" s="403"/>
      <c r="D134" s="403"/>
      <c r="E134" s="403"/>
      <c r="F134" s="403"/>
      <c r="G134" s="403"/>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row>
    <row r="135" spans="1:100">
      <c r="A135" s="403"/>
      <c r="B135" s="403"/>
      <c r="C135" s="403"/>
      <c r="D135" s="403"/>
      <c r="E135" s="403"/>
      <c r="F135" s="403"/>
      <c r="G135" s="403"/>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c r="BS135" s="262"/>
      <c r="BT135" s="262"/>
      <c r="BU135" s="262"/>
      <c r="BV135" s="262"/>
      <c r="BW135" s="262"/>
      <c r="BX135" s="262"/>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2"/>
      <c r="CV135" s="262"/>
    </row>
    <row r="136" spans="1:100">
      <c r="A136" s="403"/>
      <c r="B136" s="403"/>
      <c r="C136" s="403"/>
      <c r="D136" s="403"/>
      <c r="E136" s="403"/>
      <c r="F136" s="403"/>
      <c r="G136" s="403"/>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c r="BS136" s="262"/>
      <c r="BT136" s="262"/>
      <c r="BU136" s="262"/>
      <c r="BV136" s="262"/>
      <c r="BW136" s="262"/>
      <c r="BX136" s="262"/>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2"/>
      <c r="CV136" s="262"/>
    </row>
    <row r="137" spans="1:100">
      <c r="A137" s="403"/>
      <c r="B137" s="403"/>
      <c r="C137" s="403"/>
      <c r="D137" s="403"/>
      <c r="E137" s="403"/>
      <c r="F137" s="403"/>
      <c r="G137" s="403"/>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c r="BS137" s="262"/>
      <c r="BT137" s="262"/>
      <c r="BU137" s="262"/>
      <c r="BV137" s="262"/>
      <c r="BW137" s="262"/>
      <c r="BX137" s="262"/>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2"/>
      <c r="CV137" s="262"/>
    </row>
    <row r="138" spans="1:100">
      <c r="A138" s="403"/>
      <c r="B138" s="403"/>
      <c r="C138" s="403"/>
      <c r="D138" s="403"/>
      <c r="E138" s="403"/>
      <c r="F138" s="403"/>
      <c r="G138" s="403"/>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c r="BS138" s="262"/>
      <c r="BT138" s="262"/>
      <c r="BU138" s="262"/>
      <c r="BV138" s="262"/>
      <c r="BW138" s="262"/>
      <c r="BX138" s="262"/>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2"/>
      <c r="CV138" s="262"/>
    </row>
    <row r="139" spans="1:100">
      <c r="A139" s="403"/>
      <c r="B139" s="403"/>
      <c r="C139" s="403"/>
      <c r="D139" s="403"/>
      <c r="E139" s="403"/>
      <c r="F139" s="403"/>
      <c r="G139" s="403"/>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c r="BS139" s="262"/>
      <c r="BT139" s="262"/>
      <c r="BU139" s="262"/>
      <c r="BV139" s="262"/>
      <c r="BW139" s="262"/>
      <c r="BX139" s="262"/>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2"/>
      <c r="CV139" s="262"/>
    </row>
    <row r="140" spans="1:100">
      <c r="A140" s="403"/>
      <c r="B140" s="403"/>
      <c r="C140" s="403"/>
      <c r="D140" s="403"/>
      <c r="E140" s="403"/>
      <c r="F140" s="403"/>
      <c r="G140" s="403"/>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c r="BS140" s="262"/>
      <c r="BT140" s="262"/>
      <c r="BU140" s="262"/>
      <c r="BV140" s="262"/>
      <c r="BW140" s="262"/>
      <c r="BX140" s="262"/>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2"/>
      <c r="CV140" s="262"/>
    </row>
    <row r="141" spans="1:100">
      <c r="A141" s="403"/>
      <c r="B141" s="403"/>
      <c r="C141" s="403"/>
      <c r="D141" s="403"/>
      <c r="E141" s="403"/>
      <c r="F141" s="403"/>
      <c r="G141" s="403"/>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row>
    <row r="142" spans="1:100">
      <c r="A142" s="403"/>
      <c r="B142" s="403"/>
      <c r="C142" s="403"/>
      <c r="D142" s="403"/>
      <c r="E142" s="403"/>
      <c r="F142" s="403"/>
      <c r="G142" s="403"/>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c r="BS142" s="262"/>
      <c r="BT142" s="262"/>
      <c r="BU142" s="262"/>
      <c r="BV142" s="262"/>
      <c r="BW142" s="262"/>
      <c r="BX142" s="262"/>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2"/>
      <c r="CV142" s="262"/>
    </row>
    <row r="143" spans="1:100">
      <c r="A143" s="403"/>
      <c r="B143" s="403"/>
      <c r="C143" s="403"/>
      <c r="D143" s="403"/>
      <c r="E143" s="403"/>
      <c r="F143" s="403"/>
      <c r="G143" s="403"/>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c r="BS143" s="262"/>
      <c r="BT143" s="262"/>
      <c r="BU143" s="262"/>
      <c r="BV143" s="262"/>
      <c r="BW143" s="262"/>
      <c r="BX143" s="262"/>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2"/>
      <c r="CV143" s="262"/>
    </row>
    <row r="144" spans="1:100">
      <c r="A144" s="403"/>
      <c r="B144" s="403"/>
      <c r="C144" s="403"/>
      <c r="D144" s="403"/>
      <c r="E144" s="403"/>
      <c r="F144" s="403"/>
      <c r="G144" s="403"/>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c r="BS144" s="262"/>
      <c r="BT144" s="262"/>
      <c r="BU144" s="262"/>
      <c r="BV144" s="262"/>
      <c r="BW144" s="262"/>
      <c r="BX144" s="262"/>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2"/>
      <c r="CV144" s="262"/>
    </row>
    <row r="145" spans="1:100">
      <c r="A145" s="403"/>
      <c r="B145" s="403"/>
      <c r="C145" s="403"/>
      <c r="D145" s="403"/>
      <c r="E145" s="403"/>
      <c r="F145" s="403"/>
      <c r="G145" s="403"/>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c r="BS145" s="262"/>
      <c r="BT145" s="262"/>
      <c r="BU145" s="262"/>
      <c r="BV145" s="262"/>
      <c r="BW145" s="262"/>
      <c r="BX145" s="262"/>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2"/>
      <c r="CV145" s="262"/>
    </row>
    <row r="146" spans="1:100">
      <c r="A146" s="403"/>
      <c r="B146" s="403"/>
      <c r="C146" s="403"/>
      <c r="D146" s="403"/>
      <c r="E146" s="403"/>
      <c r="F146" s="403"/>
      <c r="G146" s="403"/>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262"/>
      <c r="BT146" s="262"/>
      <c r="BU146" s="262"/>
      <c r="BV146" s="262"/>
      <c r="BW146" s="262"/>
      <c r="BX146" s="262"/>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2"/>
      <c r="CV146" s="262"/>
    </row>
    <row r="147" spans="1:100">
      <c r="A147" s="403"/>
      <c r="B147" s="403"/>
      <c r="C147" s="403"/>
      <c r="D147" s="403"/>
      <c r="E147" s="403"/>
      <c r="F147" s="403"/>
      <c r="G147" s="403"/>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c r="BS147" s="262"/>
      <c r="BT147" s="262"/>
      <c r="BU147" s="262"/>
      <c r="BV147" s="262"/>
      <c r="BW147" s="262"/>
      <c r="BX147" s="262"/>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2"/>
      <c r="CV147" s="262"/>
    </row>
    <row r="148" spans="1:100">
      <c r="A148" s="403"/>
      <c r="B148" s="403"/>
      <c r="C148" s="403"/>
      <c r="D148" s="403"/>
      <c r="E148" s="403"/>
      <c r="F148" s="403"/>
      <c r="G148" s="403"/>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c r="BS148" s="262"/>
      <c r="BT148" s="262"/>
      <c r="BU148" s="262"/>
      <c r="BV148" s="262"/>
      <c r="BW148" s="262"/>
      <c r="BX148" s="262"/>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2"/>
      <c r="CV148" s="262"/>
    </row>
    <row r="149" spans="1:100">
      <c r="A149" s="403"/>
      <c r="B149" s="403"/>
      <c r="C149" s="403"/>
      <c r="D149" s="403"/>
      <c r="E149" s="403"/>
      <c r="F149" s="403"/>
      <c r="G149" s="403"/>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c r="BS149" s="262"/>
      <c r="BT149" s="262"/>
      <c r="BU149" s="262"/>
      <c r="BV149" s="262"/>
      <c r="BW149" s="262"/>
      <c r="BX149" s="262"/>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2"/>
      <c r="CV149" s="262"/>
    </row>
    <row r="150" spans="1:100">
      <c r="A150" s="403"/>
      <c r="B150" s="403"/>
      <c r="C150" s="403"/>
      <c r="D150" s="403"/>
      <c r="E150" s="403"/>
      <c r="F150" s="403"/>
      <c r="G150" s="403"/>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c r="BS150" s="262"/>
      <c r="BT150" s="262"/>
      <c r="BU150" s="262"/>
      <c r="BV150" s="262"/>
      <c r="BW150" s="262"/>
      <c r="BX150" s="262"/>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2"/>
      <c r="CV150" s="262"/>
    </row>
    <row r="151" spans="1:100">
      <c r="A151" s="403"/>
      <c r="B151" s="403"/>
      <c r="C151" s="403"/>
      <c r="D151" s="403"/>
      <c r="E151" s="403"/>
      <c r="F151" s="403"/>
      <c r="G151" s="403"/>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c r="BS151" s="262"/>
      <c r="BT151" s="262"/>
      <c r="BU151" s="262"/>
      <c r="BV151" s="262"/>
      <c r="BW151" s="262"/>
      <c r="BX151" s="262"/>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2"/>
      <c r="CV151" s="262"/>
    </row>
    <row r="152" spans="1:100">
      <c r="A152" s="403"/>
      <c r="B152" s="403"/>
      <c r="C152" s="403"/>
      <c r="D152" s="403"/>
      <c r="E152" s="403"/>
      <c r="F152" s="403"/>
      <c r="G152" s="403"/>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c r="BS152" s="262"/>
      <c r="BT152" s="262"/>
      <c r="BU152" s="262"/>
      <c r="BV152" s="262"/>
      <c r="BW152" s="262"/>
      <c r="BX152" s="262"/>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2"/>
      <c r="CV152" s="262"/>
    </row>
    <row r="153" spans="1:100">
      <c r="A153" s="403"/>
      <c r="B153" s="403"/>
      <c r="C153" s="403"/>
      <c r="D153" s="403"/>
      <c r="E153" s="403"/>
      <c r="F153" s="403"/>
      <c r="G153" s="403"/>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c r="BS153" s="262"/>
      <c r="BT153" s="262"/>
      <c r="BU153" s="262"/>
      <c r="BV153" s="262"/>
      <c r="BW153" s="262"/>
      <c r="BX153" s="262"/>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2"/>
      <c r="CV153" s="262"/>
    </row>
    <row r="154" spans="1:100">
      <c r="A154" s="403"/>
      <c r="B154" s="403"/>
      <c r="C154" s="403"/>
      <c r="D154" s="403"/>
      <c r="E154" s="403"/>
      <c r="F154" s="403"/>
      <c r="G154" s="403"/>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c r="BS154" s="262"/>
      <c r="BT154" s="262"/>
      <c r="BU154" s="262"/>
      <c r="BV154" s="262"/>
      <c r="BW154" s="262"/>
      <c r="BX154" s="262"/>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2"/>
      <c r="CV154" s="262"/>
    </row>
    <row r="155" spans="1:100">
      <c r="A155" s="403"/>
      <c r="B155" s="403"/>
      <c r="C155" s="403"/>
      <c r="D155" s="403"/>
      <c r="E155" s="403"/>
      <c r="F155" s="403"/>
      <c r="G155" s="403"/>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c r="BS155" s="262"/>
      <c r="BT155" s="262"/>
      <c r="BU155" s="262"/>
      <c r="BV155" s="262"/>
      <c r="BW155" s="262"/>
      <c r="BX155" s="262"/>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2"/>
      <c r="CV155" s="262"/>
    </row>
    <row r="156" spans="1:100">
      <c r="A156" s="403"/>
      <c r="B156" s="403"/>
      <c r="C156" s="403"/>
      <c r="D156" s="403"/>
      <c r="E156" s="403"/>
      <c r="F156" s="403"/>
      <c r="G156" s="403"/>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row>
    <row r="157" spans="1:100">
      <c r="A157" s="403"/>
      <c r="B157" s="403"/>
      <c r="C157" s="403"/>
      <c r="D157" s="403"/>
      <c r="E157" s="403"/>
      <c r="F157" s="403"/>
      <c r="G157" s="403"/>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262"/>
      <c r="BT157" s="262"/>
      <c r="BU157" s="262"/>
      <c r="BV157" s="262"/>
      <c r="BW157" s="262"/>
      <c r="BX157" s="262"/>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2"/>
      <c r="CV157" s="262"/>
    </row>
    <row r="158" spans="1:100">
      <c r="A158" s="403"/>
      <c r="B158" s="403"/>
      <c r="C158" s="403"/>
      <c r="D158" s="403"/>
      <c r="E158" s="403"/>
      <c r="F158" s="403"/>
      <c r="G158" s="403"/>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262"/>
      <c r="BT158" s="262"/>
      <c r="BU158" s="262"/>
      <c r="BV158" s="262"/>
      <c r="BW158" s="262"/>
      <c r="BX158" s="262"/>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2"/>
      <c r="CV158" s="262"/>
    </row>
    <row r="159" spans="1:100">
      <c r="A159" s="403"/>
      <c r="B159" s="403"/>
      <c r="C159" s="403"/>
      <c r="D159" s="403"/>
      <c r="E159" s="403"/>
      <c r="F159" s="403"/>
      <c r="G159" s="403"/>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c r="BS159" s="262"/>
      <c r="BT159" s="262"/>
      <c r="BU159" s="262"/>
      <c r="BV159" s="262"/>
      <c r="BW159" s="262"/>
      <c r="BX159" s="262"/>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2"/>
      <c r="CV159" s="262"/>
    </row>
    <row r="160" spans="1:100">
      <c r="A160" s="403"/>
      <c r="B160" s="403"/>
      <c r="C160" s="403"/>
      <c r="D160" s="403"/>
      <c r="E160" s="403"/>
      <c r="F160" s="403"/>
      <c r="G160" s="403"/>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262"/>
      <c r="BT160" s="262"/>
      <c r="BU160" s="262"/>
      <c r="BV160" s="262"/>
      <c r="BW160" s="262"/>
      <c r="BX160" s="262"/>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2"/>
      <c r="CV160" s="262"/>
    </row>
    <row r="161" spans="1:100">
      <c r="A161" s="403"/>
      <c r="B161" s="403"/>
      <c r="C161" s="403"/>
      <c r="D161" s="403"/>
      <c r="E161" s="403"/>
      <c r="F161" s="403"/>
      <c r="G161" s="403"/>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c r="BS161" s="262"/>
      <c r="BT161" s="262"/>
      <c r="BU161" s="262"/>
      <c r="BV161" s="262"/>
      <c r="BW161" s="262"/>
      <c r="BX161" s="262"/>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2"/>
      <c r="CV161" s="262"/>
    </row>
    <row r="162" spans="1:100">
      <c r="A162" s="403"/>
      <c r="B162" s="403"/>
      <c r="C162" s="403"/>
      <c r="D162" s="403"/>
      <c r="E162" s="403"/>
      <c r="F162" s="403"/>
      <c r="G162" s="403"/>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c r="BS162" s="262"/>
      <c r="BT162" s="262"/>
      <c r="BU162" s="262"/>
      <c r="BV162" s="262"/>
      <c r="BW162" s="262"/>
      <c r="BX162" s="262"/>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2"/>
      <c r="CV162" s="262"/>
    </row>
    <row r="163" spans="1:100">
      <c r="A163" s="403"/>
      <c r="B163" s="403"/>
      <c r="C163" s="403"/>
      <c r="D163" s="403"/>
      <c r="E163" s="403"/>
      <c r="F163" s="403"/>
      <c r="G163" s="403"/>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c r="BS163" s="262"/>
      <c r="BT163" s="262"/>
      <c r="BU163" s="262"/>
      <c r="BV163" s="262"/>
      <c r="BW163" s="262"/>
      <c r="BX163" s="262"/>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2"/>
      <c r="CV163" s="262"/>
    </row>
    <row r="164" spans="1:100">
      <c r="A164" s="403"/>
      <c r="B164" s="403"/>
      <c r="C164" s="403"/>
      <c r="D164" s="403"/>
      <c r="E164" s="403"/>
      <c r="F164" s="403"/>
      <c r="G164" s="403"/>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c r="BS164" s="262"/>
      <c r="BT164" s="262"/>
      <c r="BU164" s="262"/>
      <c r="BV164" s="262"/>
      <c r="BW164" s="262"/>
      <c r="BX164" s="262"/>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2"/>
      <c r="CV164" s="262"/>
    </row>
    <row r="165" spans="1:100">
      <c r="A165" s="403"/>
      <c r="B165" s="403"/>
      <c r="C165" s="403"/>
      <c r="D165" s="403"/>
      <c r="E165" s="403"/>
      <c r="F165" s="403"/>
      <c r="G165" s="403"/>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c r="BS165" s="262"/>
      <c r="BT165" s="262"/>
      <c r="BU165" s="262"/>
      <c r="BV165" s="262"/>
      <c r="BW165" s="262"/>
      <c r="BX165" s="262"/>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2"/>
      <c r="CV165" s="262"/>
    </row>
    <row r="166" spans="1:100">
      <c r="A166" s="403"/>
      <c r="B166" s="403"/>
      <c r="C166" s="403"/>
      <c r="D166" s="403"/>
      <c r="E166" s="403"/>
      <c r="F166" s="403"/>
      <c r="G166" s="403"/>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c r="BS166" s="262"/>
      <c r="BT166" s="262"/>
      <c r="BU166" s="262"/>
      <c r="BV166" s="262"/>
      <c r="BW166" s="262"/>
      <c r="BX166" s="262"/>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2"/>
      <c r="CV166" s="262"/>
    </row>
    <row r="167" spans="1:100">
      <c r="A167" s="403"/>
      <c r="B167" s="403"/>
      <c r="C167" s="403"/>
      <c r="D167" s="403"/>
      <c r="E167" s="403"/>
      <c r="F167" s="403"/>
      <c r="G167" s="403"/>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c r="BS167" s="262"/>
      <c r="BT167" s="262"/>
      <c r="BU167" s="262"/>
      <c r="BV167" s="262"/>
      <c r="BW167" s="262"/>
      <c r="BX167" s="262"/>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2"/>
      <c r="CV167" s="262"/>
    </row>
    <row r="168" spans="1:100">
      <c r="A168" s="403"/>
      <c r="B168" s="403"/>
      <c r="C168" s="403"/>
      <c r="D168" s="403"/>
      <c r="E168" s="403"/>
      <c r="F168" s="403"/>
      <c r="G168" s="403"/>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c r="BS168" s="262"/>
      <c r="BT168" s="262"/>
      <c r="BU168" s="262"/>
      <c r="BV168" s="262"/>
      <c r="BW168" s="262"/>
      <c r="BX168" s="262"/>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2"/>
      <c r="CV168" s="262"/>
    </row>
    <row r="169" spans="1:100">
      <c r="A169" s="403"/>
      <c r="B169" s="403"/>
      <c r="C169" s="403"/>
      <c r="D169" s="403"/>
      <c r="E169" s="403"/>
      <c r="F169" s="403"/>
      <c r="G169" s="403"/>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c r="BS169" s="262"/>
      <c r="BT169" s="262"/>
      <c r="BU169" s="262"/>
      <c r="BV169" s="262"/>
      <c r="BW169" s="262"/>
      <c r="BX169" s="262"/>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2"/>
      <c r="CV169" s="262"/>
    </row>
    <row r="170" spans="1:100">
      <c r="A170" s="403"/>
      <c r="B170" s="403"/>
      <c r="C170" s="403"/>
      <c r="D170" s="403"/>
      <c r="E170" s="403"/>
      <c r="F170" s="403"/>
      <c r="G170" s="403"/>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c r="BS170" s="262"/>
      <c r="BT170" s="262"/>
      <c r="BU170" s="262"/>
      <c r="BV170" s="262"/>
      <c r="BW170" s="262"/>
      <c r="BX170" s="262"/>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2"/>
      <c r="CV170" s="262"/>
    </row>
    <row r="171" spans="1:100">
      <c r="A171" s="403"/>
      <c r="B171" s="403"/>
      <c r="C171" s="403"/>
      <c r="D171" s="403"/>
      <c r="E171" s="403"/>
      <c r="F171" s="403"/>
      <c r="G171" s="403"/>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c r="BS171" s="262"/>
      <c r="BT171" s="262"/>
      <c r="BU171" s="262"/>
      <c r="BV171" s="262"/>
      <c r="BW171" s="262"/>
      <c r="BX171" s="262"/>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2"/>
      <c r="CV171" s="262"/>
    </row>
    <row r="172" spans="1:100">
      <c r="A172" s="403"/>
      <c r="B172" s="403"/>
      <c r="C172" s="403"/>
      <c r="D172" s="403"/>
      <c r="E172" s="403"/>
      <c r="F172" s="403"/>
      <c r="G172" s="403"/>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c r="BS172" s="262"/>
      <c r="BT172" s="262"/>
      <c r="BU172" s="262"/>
      <c r="BV172" s="262"/>
      <c r="BW172" s="262"/>
      <c r="BX172" s="262"/>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2"/>
      <c r="CV172" s="262"/>
    </row>
    <row r="173" spans="1:100">
      <c r="A173" s="403"/>
      <c r="B173" s="403"/>
      <c r="C173" s="403"/>
      <c r="D173" s="403"/>
      <c r="E173" s="403"/>
      <c r="F173" s="403"/>
      <c r="G173" s="403"/>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c r="BS173" s="262"/>
      <c r="BT173" s="262"/>
      <c r="BU173" s="262"/>
      <c r="BV173" s="262"/>
      <c r="BW173" s="262"/>
      <c r="BX173" s="262"/>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2"/>
      <c r="CV173" s="262"/>
    </row>
    <row r="174" spans="1:100">
      <c r="A174" s="403"/>
      <c r="B174" s="403"/>
      <c r="C174" s="403"/>
      <c r="D174" s="403"/>
      <c r="E174" s="403"/>
      <c r="F174" s="403"/>
      <c r="G174" s="403"/>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2"/>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2"/>
      <c r="CV174" s="262"/>
    </row>
    <row r="175" spans="1:100">
      <c r="A175" s="403"/>
      <c r="B175" s="403"/>
      <c r="C175" s="403"/>
      <c r="D175" s="403"/>
      <c r="E175" s="403"/>
      <c r="F175" s="403"/>
      <c r="G175" s="403"/>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c r="BS175" s="262"/>
      <c r="BT175" s="262"/>
      <c r="BU175" s="262"/>
      <c r="BV175" s="262"/>
      <c r="BW175" s="262"/>
      <c r="BX175" s="262"/>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2"/>
      <c r="CV175" s="262"/>
    </row>
    <row r="176" spans="1:100">
      <c r="A176" s="403"/>
      <c r="B176" s="403"/>
      <c r="C176" s="403"/>
      <c r="D176" s="403"/>
      <c r="E176" s="403"/>
      <c r="F176" s="403"/>
      <c r="G176" s="403"/>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c r="BS176" s="262"/>
      <c r="BT176" s="262"/>
      <c r="BU176" s="262"/>
      <c r="BV176" s="262"/>
      <c r="BW176" s="262"/>
      <c r="BX176" s="262"/>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2"/>
      <c r="CV176" s="262"/>
    </row>
    <row r="177" spans="1:100">
      <c r="A177" s="403"/>
      <c r="B177" s="403"/>
      <c r="C177" s="403"/>
      <c r="D177" s="403"/>
      <c r="E177" s="403"/>
      <c r="F177" s="403"/>
      <c r="G177" s="403"/>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c r="BS177" s="262"/>
      <c r="BT177" s="262"/>
      <c r="BU177" s="262"/>
      <c r="BV177" s="262"/>
      <c r="BW177" s="262"/>
      <c r="BX177" s="262"/>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2"/>
      <c r="CV177" s="262"/>
    </row>
    <row r="178" spans="1:100">
      <c r="A178" s="403"/>
      <c r="B178" s="403"/>
      <c r="C178" s="403"/>
      <c r="D178" s="403"/>
      <c r="E178" s="403"/>
      <c r="F178" s="403"/>
      <c r="G178" s="403"/>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c r="BS178" s="262"/>
      <c r="BT178" s="262"/>
      <c r="BU178" s="262"/>
      <c r="BV178" s="262"/>
      <c r="BW178" s="262"/>
      <c r="BX178" s="262"/>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2"/>
      <c r="CV178" s="262"/>
    </row>
    <row r="179" spans="1:100">
      <c r="A179" s="403"/>
      <c r="B179" s="403"/>
      <c r="C179" s="403"/>
      <c r="D179" s="403"/>
      <c r="E179" s="403"/>
      <c r="F179" s="403"/>
      <c r="G179" s="403"/>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62"/>
      <c r="BV179" s="262"/>
      <c r="BW179" s="262"/>
      <c r="BX179" s="262"/>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2"/>
      <c r="CV179" s="262"/>
    </row>
    <row r="180" spans="1:100">
      <c r="A180" s="403"/>
      <c r="B180" s="403"/>
      <c r="C180" s="403"/>
      <c r="D180" s="403"/>
      <c r="E180" s="403"/>
      <c r="F180" s="403"/>
      <c r="G180" s="403"/>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c r="BS180" s="262"/>
      <c r="BT180" s="262"/>
      <c r="BU180" s="262"/>
      <c r="BV180" s="262"/>
      <c r="BW180" s="262"/>
      <c r="BX180" s="262"/>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2"/>
      <c r="CV180" s="262"/>
    </row>
    <row r="181" spans="1:100">
      <c r="A181" s="403"/>
      <c r="B181" s="403"/>
      <c r="C181" s="403"/>
      <c r="D181" s="403"/>
      <c r="E181" s="403"/>
      <c r="F181" s="403"/>
      <c r="G181" s="403"/>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c r="BS181" s="262"/>
      <c r="BT181" s="262"/>
      <c r="BU181" s="262"/>
      <c r="BV181" s="262"/>
      <c r="BW181" s="262"/>
      <c r="BX181" s="262"/>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2"/>
      <c r="CV181" s="262"/>
    </row>
    <row r="182" spans="1:100">
      <c r="A182" s="403"/>
      <c r="B182" s="403"/>
      <c r="C182" s="403"/>
      <c r="D182" s="403"/>
      <c r="E182" s="403"/>
      <c r="F182" s="403"/>
      <c r="G182" s="403"/>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c r="BS182" s="262"/>
      <c r="BT182" s="262"/>
      <c r="BU182" s="262"/>
      <c r="BV182" s="262"/>
      <c r="BW182" s="262"/>
      <c r="BX182" s="262"/>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2"/>
      <c r="CV182" s="262"/>
    </row>
    <row r="183" spans="1:100">
      <c r="A183" s="403"/>
      <c r="B183" s="403"/>
      <c r="C183" s="403"/>
      <c r="D183" s="403"/>
      <c r="E183" s="403"/>
      <c r="F183" s="403"/>
      <c r="G183" s="403"/>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c r="BS183" s="262"/>
      <c r="BT183" s="262"/>
      <c r="BU183" s="262"/>
      <c r="BV183" s="262"/>
      <c r="BW183" s="262"/>
      <c r="BX183" s="262"/>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2"/>
      <c r="CV183" s="262"/>
    </row>
    <row r="184" spans="1:100">
      <c r="A184" s="403"/>
      <c r="B184" s="403"/>
      <c r="C184" s="403"/>
      <c r="D184" s="403"/>
      <c r="E184" s="403"/>
      <c r="F184" s="403"/>
      <c r="G184" s="403"/>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c r="BS184" s="262"/>
      <c r="BT184" s="262"/>
      <c r="BU184" s="262"/>
      <c r="BV184" s="262"/>
      <c r="BW184" s="262"/>
      <c r="BX184" s="262"/>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2"/>
      <c r="CV184" s="262"/>
    </row>
    <row r="185" spans="1:100">
      <c r="A185" s="403"/>
      <c r="B185" s="403"/>
      <c r="C185" s="403"/>
      <c r="D185" s="403"/>
      <c r="E185" s="403"/>
      <c r="F185" s="403"/>
      <c r="G185" s="403"/>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c r="BS185" s="262"/>
      <c r="BT185" s="262"/>
      <c r="BU185" s="262"/>
      <c r="BV185" s="262"/>
      <c r="BW185" s="262"/>
      <c r="BX185" s="262"/>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2"/>
      <c r="CV185" s="262"/>
    </row>
    <row r="186" spans="1:100">
      <c r="A186" s="403"/>
      <c r="B186" s="403"/>
      <c r="C186" s="403"/>
      <c r="D186" s="403"/>
      <c r="E186" s="403"/>
      <c r="F186" s="403"/>
      <c r="G186" s="403"/>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c r="BS186" s="262"/>
      <c r="BT186" s="262"/>
      <c r="BU186" s="262"/>
      <c r="BV186" s="262"/>
      <c r="BW186" s="262"/>
      <c r="BX186" s="262"/>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2"/>
      <c r="CV186" s="262"/>
    </row>
    <row r="187" spans="1:100">
      <c r="A187" s="403"/>
      <c r="B187" s="403"/>
      <c r="C187" s="403"/>
      <c r="D187" s="403"/>
      <c r="E187" s="403"/>
      <c r="F187" s="403"/>
      <c r="G187" s="403"/>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c r="BS187" s="262"/>
      <c r="BT187" s="262"/>
      <c r="BU187" s="262"/>
      <c r="BV187" s="262"/>
      <c r="BW187" s="262"/>
      <c r="BX187" s="262"/>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2"/>
      <c r="CV187" s="262"/>
    </row>
    <row r="188" spans="1:100">
      <c r="A188" s="403"/>
      <c r="B188" s="403"/>
      <c r="C188" s="403"/>
      <c r="D188" s="403"/>
      <c r="E188" s="403"/>
      <c r="F188" s="403"/>
      <c r="G188" s="403"/>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c r="BS188" s="262"/>
      <c r="BT188" s="262"/>
      <c r="BU188" s="262"/>
      <c r="BV188" s="262"/>
      <c r="BW188" s="262"/>
      <c r="BX188" s="262"/>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2"/>
      <c r="CV188" s="262"/>
    </row>
    <row r="189" spans="1:100">
      <c r="A189" s="403"/>
      <c r="B189" s="403"/>
      <c r="C189" s="403"/>
      <c r="D189" s="403"/>
      <c r="E189" s="403"/>
      <c r="F189" s="403"/>
      <c r="G189" s="403"/>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c r="BS189" s="262"/>
      <c r="BT189" s="262"/>
      <c r="BU189" s="262"/>
      <c r="BV189" s="262"/>
      <c r="BW189" s="262"/>
      <c r="BX189" s="262"/>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2"/>
      <c r="CV189" s="262"/>
    </row>
    <row r="190" spans="1:100">
      <c r="A190" s="403"/>
      <c r="B190" s="403"/>
      <c r="C190" s="403"/>
      <c r="D190" s="403"/>
      <c r="E190" s="403"/>
      <c r="F190" s="403"/>
      <c r="G190" s="403"/>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c r="BS190" s="262"/>
      <c r="BT190" s="262"/>
      <c r="BU190" s="262"/>
      <c r="BV190" s="262"/>
      <c r="BW190" s="262"/>
      <c r="BX190" s="262"/>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2"/>
      <c r="CV190" s="262"/>
    </row>
    <row r="191" spans="1:100">
      <c r="A191" s="403"/>
      <c r="B191" s="403"/>
      <c r="C191" s="403"/>
      <c r="D191" s="403"/>
      <c r="E191" s="403"/>
      <c r="F191" s="403"/>
      <c r="G191" s="403"/>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c r="BS191" s="262"/>
      <c r="BT191" s="262"/>
      <c r="BU191" s="262"/>
      <c r="BV191" s="262"/>
      <c r="BW191" s="262"/>
      <c r="BX191" s="262"/>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2"/>
      <c r="CV191" s="262"/>
    </row>
    <row r="192" spans="1:100">
      <c r="A192" s="403"/>
      <c r="B192" s="403"/>
      <c r="C192" s="403"/>
      <c r="D192" s="403"/>
      <c r="E192" s="403"/>
      <c r="F192" s="403"/>
      <c r="G192" s="403"/>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c r="BS192" s="262"/>
      <c r="BT192" s="262"/>
      <c r="BU192" s="262"/>
      <c r="BV192" s="262"/>
      <c r="BW192" s="262"/>
      <c r="BX192" s="262"/>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2"/>
      <c r="CV192" s="262"/>
    </row>
    <row r="193" spans="1:100">
      <c r="A193" s="403"/>
      <c r="B193" s="403"/>
      <c r="C193" s="403"/>
      <c r="D193" s="403"/>
      <c r="E193" s="403"/>
      <c r="F193" s="403"/>
      <c r="G193" s="403"/>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c r="BS193" s="262"/>
      <c r="BT193" s="262"/>
      <c r="BU193" s="262"/>
      <c r="BV193" s="262"/>
      <c r="BW193" s="262"/>
      <c r="BX193" s="262"/>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2"/>
      <c r="CV193" s="262"/>
    </row>
    <row r="194" spans="1:100">
      <c r="A194" s="403"/>
      <c r="B194" s="403"/>
      <c r="C194" s="403"/>
      <c r="D194" s="403"/>
      <c r="E194" s="403"/>
      <c r="F194" s="403"/>
      <c r="G194" s="403"/>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c r="BS194" s="262"/>
      <c r="BT194" s="262"/>
      <c r="BU194" s="262"/>
      <c r="BV194" s="262"/>
      <c r="BW194" s="262"/>
      <c r="BX194" s="262"/>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2"/>
      <c r="CV194" s="262"/>
    </row>
    <row r="195" spans="1:100">
      <c r="A195" s="403"/>
      <c r="B195" s="403"/>
      <c r="C195" s="403"/>
      <c r="D195" s="403"/>
      <c r="E195" s="403"/>
      <c r="F195" s="403"/>
      <c r="G195" s="403"/>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c r="BS195" s="262"/>
      <c r="BT195" s="262"/>
      <c r="BU195" s="262"/>
      <c r="BV195" s="262"/>
      <c r="BW195" s="262"/>
      <c r="BX195" s="262"/>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2"/>
      <c r="CV195" s="262"/>
    </row>
    <row r="196" spans="1:100">
      <c r="A196" s="403"/>
      <c r="B196" s="403"/>
      <c r="C196" s="403"/>
      <c r="D196" s="403"/>
      <c r="E196" s="403"/>
      <c r="F196" s="403"/>
      <c r="G196" s="403"/>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c r="BS196" s="262"/>
      <c r="BT196" s="262"/>
      <c r="BU196" s="262"/>
      <c r="BV196" s="262"/>
      <c r="BW196" s="262"/>
      <c r="BX196" s="262"/>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2"/>
      <c r="CV196" s="262"/>
    </row>
    <row r="197" spans="1:100">
      <c r="A197" s="403"/>
      <c r="B197" s="403"/>
      <c r="C197" s="403"/>
      <c r="D197" s="403"/>
      <c r="E197" s="403"/>
      <c r="F197" s="403"/>
      <c r="G197" s="403"/>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c r="BS197" s="262"/>
      <c r="BT197" s="262"/>
      <c r="BU197" s="262"/>
      <c r="BV197" s="262"/>
      <c r="BW197" s="262"/>
      <c r="BX197" s="262"/>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2"/>
      <c r="CV197" s="262"/>
    </row>
    <row r="198" spans="1:100">
      <c r="A198" s="403"/>
      <c r="B198" s="403"/>
      <c r="C198" s="403"/>
      <c r="D198" s="403"/>
      <c r="E198" s="403"/>
      <c r="F198" s="403"/>
      <c r="G198" s="403"/>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c r="BS198" s="262"/>
      <c r="BT198" s="262"/>
      <c r="BU198" s="262"/>
      <c r="BV198" s="262"/>
      <c r="BW198" s="262"/>
      <c r="BX198" s="262"/>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2"/>
      <c r="CV198" s="262"/>
    </row>
    <row r="199" spans="1:100">
      <c r="A199" s="403"/>
      <c r="B199" s="403"/>
      <c r="C199" s="403"/>
      <c r="D199" s="403"/>
      <c r="E199" s="403"/>
      <c r="F199" s="403"/>
      <c r="G199" s="403"/>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c r="BS199" s="262"/>
      <c r="BT199" s="262"/>
      <c r="BU199" s="262"/>
      <c r="BV199" s="262"/>
      <c r="BW199" s="262"/>
      <c r="BX199" s="262"/>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2"/>
      <c r="CV199" s="262"/>
    </row>
    <row r="200" spans="1:100">
      <c r="A200" s="403"/>
      <c r="B200" s="403"/>
      <c r="C200" s="403"/>
      <c r="D200" s="403"/>
      <c r="E200" s="403"/>
      <c r="F200" s="403"/>
      <c r="G200" s="403"/>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c r="BS200" s="262"/>
      <c r="BT200" s="262"/>
      <c r="BU200" s="262"/>
      <c r="BV200" s="262"/>
      <c r="BW200" s="262"/>
      <c r="BX200" s="262"/>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2"/>
      <c r="CV200" s="262"/>
    </row>
    <row r="201" spans="1:100">
      <c r="A201" s="403"/>
      <c r="B201" s="403"/>
      <c r="C201" s="403"/>
      <c r="D201" s="403"/>
      <c r="E201" s="403"/>
      <c r="F201" s="403"/>
      <c r="G201" s="403"/>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c r="BS201" s="262"/>
      <c r="BT201" s="262"/>
      <c r="BU201" s="262"/>
      <c r="BV201" s="262"/>
      <c r="BW201" s="262"/>
      <c r="BX201" s="262"/>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2"/>
      <c r="CV201" s="262"/>
    </row>
    <row r="202" spans="1:100">
      <c r="A202" s="403"/>
      <c r="B202" s="403"/>
      <c r="C202" s="403"/>
      <c r="D202" s="403"/>
      <c r="E202" s="403"/>
      <c r="F202" s="403"/>
      <c r="G202" s="403"/>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c r="BS202" s="262"/>
      <c r="BT202" s="262"/>
      <c r="BU202" s="262"/>
      <c r="BV202" s="262"/>
      <c r="BW202" s="262"/>
      <c r="BX202" s="262"/>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2"/>
      <c r="CV202" s="262"/>
    </row>
    <row r="203" spans="1:100">
      <c r="A203" s="403"/>
      <c r="B203" s="403"/>
      <c r="C203" s="403"/>
      <c r="D203" s="403"/>
      <c r="E203" s="403"/>
      <c r="F203" s="403"/>
      <c r="G203" s="403"/>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c r="BS203" s="262"/>
      <c r="BT203" s="262"/>
      <c r="BU203" s="262"/>
      <c r="BV203" s="262"/>
      <c r="BW203" s="262"/>
      <c r="BX203" s="262"/>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2"/>
      <c r="CV203" s="262"/>
    </row>
    <row r="204" spans="1:100">
      <c r="A204" s="403"/>
      <c r="B204" s="403"/>
      <c r="C204" s="403"/>
      <c r="D204" s="403"/>
      <c r="E204" s="403"/>
      <c r="F204" s="403"/>
      <c r="G204" s="403"/>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c r="BS204" s="262"/>
      <c r="BT204" s="262"/>
      <c r="BU204" s="262"/>
      <c r="BV204" s="262"/>
      <c r="BW204" s="262"/>
      <c r="BX204" s="262"/>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2"/>
      <c r="CV204" s="262"/>
    </row>
    <row r="205" spans="1:100">
      <c r="A205" s="403"/>
      <c r="B205" s="403"/>
      <c r="C205" s="403"/>
      <c r="D205" s="403"/>
      <c r="E205" s="403"/>
      <c r="F205" s="403"/>
      <c r="G205" s="403"/>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c r="BS205" s="262"/>
      <c r="BT205" s="262"/>
      <c r="BU205" s="262"/>
      <c r="BV205" s="262"/>
      <c r="BW205" s="262"/>
      <c r="BX205" s="262"/>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2"/>
      <c r="CV205" s="262"/>
    </row>
    <row r="206" spans="1:100">
      <c r="A206" s="403"/>
      <c r="B206" s="403"/>
      <c r="C206" s="403"/>
      <c r="D206" s="403"/>
      <c r="E206" s="403"/>
      <c r="F206" s="403"/>
      <c r="G206" s="403"/>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c r="BS206" s="262"/>
      <c r="BT206" s="262"/>
      <c r="BU206" s="262"/>
      <c r="BV206" s="262"/>
      <c r="BW206" s="262"/>
      <c r="BX206" s="262"/>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2"/>
      <c r="CV206" s="262"/>
    </row>
    <row r="207" spans="1:100">
      <c r="A207" s="403"/>
      <c r="B207" s="403"/>
      <c r="C207" s="403"/>
      <c r="D207" s="403"/>
      <c r="E207" s="403"/>
      <c r="F207" s="403"/>
      <c r="G207" s="403"/>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c r="BS207" s="262"/>
      <c r="BT207" s="262"/>
      <c r="BU207" s="262"/>
      <c r="BV207" s="262"/>
      <c r="BW207" s="262"/>
      <c r="BX207" s="262"/>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2"/>
      <c r="CV207" s="262"/>
    </row>
    <row r="208" spans="1:100">
      <c r="A208" s="403"/>
      <c r="B208" s="403"/>
      <c r="C208" s="403"/>
      <c r="D208" s="403"/>
      <c r="E208" s="403"/>
      <c r="F208" s="403"/>
      <c r="G208" s="403"/>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262"/>
      <c r="BT208" s="262"/>
      <c r="BU208" s="262"/>
      <c r="BV208" s="262"/>
      <c r="BW208" s="262"/>
      <c r="BX208" s="262"/>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2"/>
      <c r="CV208" s="262"/>
    </row>
    <row r="209" spans="1:100">
      <c r="A209" s="403"/>
      <c r="B209" s="403"/>
      <c r="C209" s="403"/>
      <c r="D209" s="403"/>
      <c r="E209" s="403"/>
      <c r="F209" s="403"/>
      <c r="G209" s="403"/>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c r="BS209" s="262"/>
      <c r="BT209" s="262"/>
      <c r="BU209" s="262"/>
      <c r="BV209" s="262"/>
      <c r="BW209" s="262"/>
      <c r="BX209" s="262"/>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2"/>
      <c r="CV209" s="262"/>
    </row>
    <row r="210" spans="1:100">
      <c r="A210" s="403"/>
      <c r="B210" s="403"/>
      <c r="C210" s="403"/>
      <c r="D210" s="403"/>
      <c r="E210" s="403"/>
      <c r="F210" s="403"/>
      <c r="G210" s="403"/>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c r="BS210" s="262"/>
      <c r="BT210" s="262"/>
      <c r="BU210" s="262"/>
      <c r="BV210" s="262"/>
      <c r="BW210" s="262"/>
      <c r="BX210" s="262"/>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2"/>
      <c r="CV210" s="262"/>
    </row>
    <row r="211" spans="1:100">
      <c r="A211" s="403"/>
      <c r="B211" s="403"/>
      <c r="C211" s="403"/>
      <c r="D211" s="403"/>
      <c r="E211" s="403"/>
      <c r="F211" s="403"/>
      <c r="G211" s="403"/>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c r="BS211" s="262"/>
      <c r="BT211" s="262"/>
      <c r="BU211" s="262"/>
      <c r="BV211" s="262"/>
      <c r="BW211" s="262"/>
      <c r="BX211" s="262"/>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2"/>
      <c r="CV211" s="262"/>
    </row>
    <row r="212" spans="1:100">
      <c r="A212" s="403"/>
      <c r="B212" s="403"/>
      <c r="C212" s="403"/>
      <c r="D212" s="403"/>
      <c r="E212" s="403"/>
      <c r="F212" s="403"/>
      <c r="G212" s="403"/>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c r="BS212" s="262"/>
      <c r="BT212" s="262"/>
      <c r="BU212" s="262"/>
      <c r="BV212" s="262"/>
      <c r="BW212" s="262"/>
      <c r="BX212" s="262"/>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2"/>
      <c r="CV212" s="262"/>
    </row>
    <row r="213" spans="1:100">
      <c r="A213" s="403"/>
      <c r="B213" s="403"/>
      <c r="C213" s="403"/>
      <c r="D213" s="403"/>
      <c r="E213" s="403"/>
      <c r="F213" s="403"/>
      <c r="G213" s="403"/>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c r="BS213" s="262"/>
      <c r="BT213" s="262"/>
      <c r="BU213" s="262"/>
      <c r="BV213" s="262"/>
      <c r="BW213" s="262"/>
      <c r="BX213" s="262"/>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2"/>
      <c r="CV213" s="262"/>
    </row>
    <row r="214" spans="1:100">
      <c r="A214" s="403"/>
      <c r="B214" s="403"/>
      <c r="C214" s="403"/>
      <c r="D214" s="403"/>
      <c r="E214" s="403"/>
      <c r="F214" s="403"/>
      <c r="G214" s="403"/>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c r="BS214" s="262"/>
      <c r="BT214" s="262"/>
      <c r="BU214" s="262"/>
      <c r="BV214" s="262"/>
      <c r="BW214" s="262"/>
      <c r="BX214" s="262"/>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2"/>
      <c r="CV214" s="262"/>
    </row>
    <row r="215" spans="1:100">
      <c r="A215" s="403"/>
      <c r="B215" s="403"/>
      <c r="C215" s="403"/>
      <c r="D215" s="403"/>
      <c r="E215" s="403"/>
      <c r="F215" s="403"/>
      <c r="G215" s="403"/>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c r="BS215" s="262"/>
      <c r="BT215" s="262"/>
      <c r="BU215" s="262"/>
      <c r="BV215" s="262"/>
      <c r="BW215" s="262"/>
      <c r="BX215" s="262"/>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2"/>
      <c r="CV215" s="262"/>
    </row>
    <row r="216" spans="1:100">
      <c r="A216" s="403"/>
      <c r="B216" s="403"/>
      <c r="C216" s="403"/>
      <c r="D216" s="403"/>
      <c r="E216" s="403"/>
      <c r="F216" s="403"/>
      <c r="G216" s="403"/>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c r="BS216" s="262"/>
      <c r="BT216" s="262"/>
      <c r="BU216" s="262"/>
      <c r="BV216" s="262"/>
      <c r="BW216" s="262"/>
      <c r="BX216" s="262"/>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2"/>
      <c r="CV216" s="262"/>
    </row>
    <row r="217" spans="1:100">
      <c r="A217" s="403"/>
      <c r="B217" s="403"/>
      <c r="C217" s="403"/>
      <c r="D217" s="403"/>
      <c r="E217" s="403"/>
      <c r="F217" s="403"/>
      <c r="G217" s="403"/>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c r="BS217" s="262"/>
      <c r="BT217" s="262"/>
      <c r="BU217" s="262"/>
      <c r="BV217" s="262"/>
      <c r="BW217" s="262"/>
      <c r="BX217" s="262"/>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2"/>
      <c r="CV217" s="262"/>
    </row>
    <row r="218" spans="1:100">
      <c r="A218" s="403"/>
      <c r="B218" s="403"/>
      <c r="C218" s="403"/>
      <c r="D218" s="403"/>
      <c r="E218" s="403"/>
      <c r="F218" s="403"/>
      <c r="G218" s="403"/>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c r="BS218" s="262"/>
      <c r="BT218" s="262"/>
      <c r="BU218" s="262"/>
      <c r="BV218" s="262"/>
      <c r="BW218" s="262"/>
      <c r="BX218" s="262"/>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2"/>
      <c r="CV218" s="262"/>
    </row>
    <row r="219" spans="1:100">
      <c r="A219" s="403"/>
      <c r="B219" s="403"/>
      <c r="C219" s="403"/>
      <c r="D219" s="403"/>
      <c r="E219" s="403"/>
      <c r="F219" s="403"/>
      <c r="G219" s="403"/>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c r="BS219" s="262"/>
      <c r="BT219" s="262"/>
      <c r="BU219" s="262"/>
      <c r="BV219" s="262"/>
      <c r="BW219" s="262"/>
      <c r="BX219" s="262"/>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2"/>
      <c r="CV219" s="262"/>
    </row>
    <row r="220" spans="1:100">
      <c r="A220" s="403"/>
      <c r="B220" s="403"/>
      <c r="C220" s="403"/>
      <c r="D220" s="403"/>
      <c r="E220" s="403"/>
      <c r="F220" s="403"/>
      <c r="G220" s="403"/>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c r="BS220" s="262"/>
      <c r="BT220" s="262"/>
      <c r="BU220" s="262"/>
      <c r="BV220" s="262"/>
      <c r="BW220" s="262"/>
      <c r="BX220" s="262"/>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2"/>
      <c r="CV220" s="262"/>
    </row>
    <row r="221" spans="1:100">
      <c r="A221" s="403"/>
      <c r="B221" s="403"/>
      <c r="C221" s="403"/>
      <c r="D221" s="403"/>
      <c r="E221" s="403"/>
      <c r="F221" s="403"/>
      <c r="G221" s="403"/>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c r="BS221" s="262"/>
      <c r="BT221" s="262"/>
      <c r="BU221" s="262"/>
      <c r="BV221" s="262"/>
      <c r="BW221" s="262"/>
      <c r="BX221" s="262"/>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2"/>
      <c r="CV221" s="262"/>
    </row>
    <row r="222" spans="1:100">
      <c r="A222" s="403"/>
      <c r="B222" s="403"/>
      <c r="C222" s="403"/>
      <c r="D222" s="403"/>
      <c r="E222" s="403"/>
      <c r="F222" s="403"/>
      <c r="G222" s="403"/>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c r="BS222" s="262"/>
      <c r="BT222" s="262"/>
      <c r="BU222" s="262"/>
      <c r="BV222" s="262"/>
      <c r="BW222" s="262"/>
      <c r="BX222" s="262"/>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2"/>
      <c r="CV222" s="262"/>
    </row>
    <row r="223" spans="1:100">
      <c r="A223" s="403"/>
      <c r="B223" s="403"/>
      <c r="C223" s="403"/>
      <c r="D223" s="403"/>
      <c r="E223" s="403"/>
      <c r="F223" s="403"/>
      <c r="G223" s="403"/>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262"/>
      <c r="BT223" s="262"/>
      <c r="BU223" s="262"/>
      <c r="BV223" s="262"/>
      <c r="BW223" s="262"/>
      <c r="BX223" s="262"/>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2"/>
      <c r="CV223" s="262"/>
    </row>
    <row r="224" spans="1:100">
      <c r="A224" s="403"/>
      <c r="B224" s="403"/>
      <c r="C224" s="403"/>
      <c r="D224" s="403"/>
      <c r="E224" s="403"/>
      <c r="F224" s="403"/>
      <c r="G224" s="403"/>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262"/>
      <c r="BT224" s="262"/>
      <c r="BU224" s="262"/>
      <c r="BV224" s="262"/>
      <c r="BW224" s="262"/>
      <c r="BX224" s="262"/>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2"/>
      <c r="CV224" s="262"/>
    </row>
    <row r="225" spans="1:100">
      <c r="A225" s="403"/>
      <c r="B225" s="403"/>
      <c r="C225" s="403"/>
      <c r="D225" s="403"/>
      <c r="E225" s="403"/>
      <c r="F225" s="403"/>
      <c r="G225" s="403"/>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c r="BS225" s="262"/>
      <c r="BT225" s="262"/>
      <c r="BU225" s="262"/>
      <c r="BV225" s="262"/>
      <c r="BW225" s="262"/>
      <c r="BX225" s="262"/>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2"/>
      <c r="CV225" s="262"/>
    </row>
    <row r="226" spans="1:100">
      <c r="A226" s="403"/>
      <c r="B226" s="403"/>
      <c r="C226" s="403"/>
      <c r="D226" s="403"/>
      <c r="E226" s="403"/>
      <c r="F226" s="403"/>
      <c r="G226" s="403"/>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c r="BS226" s="262"/>
      <c r="BT226" s="262"/>
      <c r="BU226" s="262"/>
      <c r="BV226" s="262"/>
      <c r="BW226" s="262"/>
      <c r="BX226" s="262"/>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2"/>
      <c r="CV226" s="262"/>
    </row>
    <row r="227" spans="1:100">
      <c r="A227" s="403"/>
      <c r="B227" s="403"/>
      <c r="C227" s="403"/>
      <c r="D227" s="403"/>
      <c r="E227" s="403"/>
      <c r="F227" s="403"/>
      <c r="G227" s="403"/>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c r="BS227" s="262"/>
      <c r="BT227" s="262"/>
      <c r="BU227" s="262"/>
      <c r="BV227" s="262"/>
      <c r="BW227" s="262"/>
      <c r="BX227" s="262"/>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2"/>
      <c r="CV227" s="262"/>
    </row>
    <row r="228" spans="1:100">
      <c r="A228" s="403"/>
      <c r="B228" s="403"/>
      <c r="C228" s="403"/>
      <c r="D228" s="403"/>
      <c r="E228" s="403"/>
      <c r="F228" s="403"/>
      <c r="G228" s="403"/>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c r="BS228" s="262"/>
      <c r="BT228" s="262"/>
      <c r="BU228" s="262"/>
      <c r="BV228" s="262"/>
      <c r="BW228" s="262"/>
      <c r="BX228" s="262"/>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2"/>
      <c r="CV228" s="262"/>
    </row>
    <row r="229" spans="1:100">
      <c r="A229" s="403"/>
      <c r="B229" s="403"/>
      <c r="C229" s="403"/>
      <c r="D229" s="403"/>
      <c r="E229" s="403"/>
      <c r="F229" s="403"/>
      <c r="G229" s="403"/>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c r="BS229" s="262"/>
      <c r="BT229" s="262"/>
      <c r="BU229" s="262"/>
      <c r="BV229" s="262"/>
      <c r="BW229" s="262"/>
      <c r="BX229" s="262"/>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2"/>
      <c r="CV229" s="262"/>
    </row>
    <row r="230" spans="1:100">
      <c r="A230" s="403"/>
      <c r="B230" s="403"/>
      <c r="C230" s="403"/>
      <c r="D230" s="403"/>
      <c r="E230" s="403"/>
      <c r="F230" s="403"/>
      <c r="G230" s="403"/>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c r="BS230" s="262"/>
      <c r="BT230" s="262"/>
      <c r="BU230" s="262"/>
      <c r="BV230" s="262"/>
      <c r="BW230" s="262"/>
      <c r="BX230" s="262"/>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2"/>
      <c r="CV230" s="262"/>
    </row>
    <row r="231" spans="1:100">
      <c r="A231" s="403"/>
      <c r="B231" s="403"/>
      <c r="C231" s="403"/>
      <c r="D231" s="403"/>
      <c r="E231" s="403"/>
      <c r="F231" s="403"/>
      <c r="G231" s="403"/>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c r="BS231" s="262"/>
      <c r="BT231" s="262"/>
      <c r="BU231" s="262"/>
      <c r="BV231" s="262"/>
      <c r="BW231" s="262"/>
      <c r="BX231" s="262"/>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2"/>
      <c r="CV231" s="262"/>
    </row>
    <row r="232" spans="1:100">
      <c r="A232" s="403"/>
      <c r="B232" s="403"/>
      <c r="C232" s="403"/>
      <c r="D232" s="403"/>
      <c r="E232" s="403"/>
      <c r="F232" s="403"/>
      <c r="G232" s="403"/>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c r="BS232" s="262"/>
      <c r="BT232" s="262"/>
      <c r="BU232" s="262"/>
      <c r="BV232" s="262"/>
      <c r="BW232" s="262"/>
      <c r="BX232" s="262"/>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2"/>
      <c r="CV232" s="262"/>
    </row>
    <row r="233" spans="1:100">
      <c r="A233" s="403"/>
      <c r="B233" s="403"/>
      <c r="C233" s="403"/>
      <c r="D233" s="403"/>
      <c r="E233" s="403"/>
      <c r="F233" s="403"/>
      <c r="G233" s="403"/>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c r="BS233" s="262"/>
      <c r="BT233" s="262"/>
      <c r="BU233" s="262"/>
      <c r="BV233" s="262"/>
      <c r="BW233" s="262"/>
      <c r="BX233" s="262"/>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2"/>
      <c r="CV233" s="262"/>
    </row>
    <row r="234" spans="1:100">
      <c r="A234" s="403"/>
      <c r="B234" s="403"/>
      <c r="C234" s="403"/>
      <c r="D234" s="403"/>
      <c r="E234" s="403"/>
      <c r="F234" s="403"/>
      <c r="G234" s="403"/>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c r="BS234" s="262"/>
      <c r="BT234" s="262"/>
      <c r="BU234" s="262"/>
      <c r="BV234" s="262"/>
      <c r="BW234" s="262"/>
      <c r="BX234" s="262"/>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2"/>
      <c r="CV234" s="262"/>
    </row>
    <row r="235" spans="1:100">
      <c r="A235" s="403"/>
      <c r="B235" s="403"/>
      <c r="C235" s="403"/>
      <c r="D235" s="403"/>
      <c r="E235" s="403"/>
      <c r="F235" s="403"/>
      <c r="G235" s="403"/>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c r="BS235" s="262"/>
      <c r="BT235" s="262"/>
      <c r="BU235" s="262"/>
      <c r="BV235" s="262"/>
      <c r="BW235" s="262"/>
      <c r="BX235" s="262"/>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2"/>
      <c r="CV235" s="262"/>
    </row>
    <row r="236" spans="1:100">
      <c r="A236" s="403"/>
      <c r="B236" s="403"/>
      <c r="C236" s="403"/>
      <c r="D236" s="403"/>
      <c r="E236" s="403"/>
      <c r="F236" s="403"/>
      <c r="G236" s="403"/>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c r="BS236" s="262"/>
      <c r="BT236" s="262"/>
      <c r="BU236" s="262"/>
      <c r="BV236" s="262"/>
      <c r="BW236" s="262"/>
      <c r="BX236" s="262"/>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2"/>
      <c r="CV236" s="262"/>
    </row>
    <row r="237" spans="1:100">
      <c r="A237" s="403"/>
      <c r="B237" s="403"/>
      <c r="C237" s="403"/>
      <c r="D237" s="403"/>
      <c r="E237" s="403"/>
      <c r="F237" s="403"/>
      <c r="G237" s="403"/>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c r="BS237" s="262"/>
      <c r="BT237" s="262"/>
      <c r="BU237" s="262"/>
      <c r="BV237" s="262"/>
      <c r="BW237" s="262"/>
      <c r="BX237" s="262"/>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2"/>
      <c r="CV237" s="262"/>
    </row>
    <row r="238" spans="1:100">
      <c r="A238" s="403"/>
      <c r="B238" s="403"/>
      <c r="C238" s="403"/>
      <c r="D238" s="403"/>
      <c r="E238" s="403"/>
      <c r="F238" s="403"/>
      <c r="G238" s="403"/>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c r="BS238" s="262"/>
      <c r="BT238" s="262"/>
      <c r="BU238" s="262"/>
      <c r="BV238" s="262"/>
      <c r="BW238" s="262"/>
      <c r="BX238" s="262"/>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2"/>
      <c r="CV238" s="262"/>
    </row>
    <row r="239" spans="1:100">
      <c r="A239" s="403"/>
      <c r="B239" s="403"/>
      <c r="C239" s="403"/>
      <c r="D239" s="403"/>
      <c r="E239" s="403"/>
      <c r="F239" s="403"/>
      <c r="G239" s="403"/>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c r="BS239" s="262"/>
      <c r="BT239" s="262"/>
      <c r="BU239" s="262"/>
      <c r="BV239" s="262"/>
      <c r="BW239" s="262"/>
      <c r="BX239" s="262"/>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2"/>
      <c r="CV239" s="262"/>
    </row>
    <row r="240" spans="1:100">
      <c r="A240" s="403"/>
      <c r="B240" s="403"/>
      <c r="C240" s="403"/>
      <c r="D240" s="403"/>
      <c r="E240" s="403"/>
      <c r="F240" s="403"/>
      <c r="G240" s="403"/>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c r="BS240" s="262"/>
      <c r="BT240" s="262"/>
      <c r="BU240" s="262"/>
      <c r="BV240" s="262"/>
      <c r="BW240" s="262"/>
      <c r="BX240" s="262"/>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2"/>
      <c r="CV240" s="262"/>
    </row>
    <row r="241" spans="1:100">
      <c r="A241" s="403"/>
      <c r="B241" s="403"/>
      <c r="C241" s="403"/>
      <c r="D241" s="403"/>
      <c r="E241" s="403"/>
      <c r="F241" s="403"/>
      <c r="G241" s="403"/>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c r="BS241" s="262"/>
      <c r="BT241" s="262"/>
      <c r="BU241" s="262"/>
      <c r="BV241" s="262"/>
      <c r="BW241" s="262"/>
      <c r="BX241" s="262"/>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2"/>
      <c r="CV241" s="262"/>
    </row>
    <row r="242" spans="1:100">
      <c r="A242" s="403"/>
      <c r="B242" s="403"/>
      <c r="C242" s="403"/>
      <c r="D242" s="403"/>
      <c r="E242" s="403"/>
      <c r="F242" s="403"/>
      <c r="G242" s="403"/>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c r="BS242" s="262"/>
      <c r="BT242" s="262"/>
      <c r="BU242" s="262"/>
      <c r="BV242" s="262"/>
      <c r="BW242" s="262"/>
      <c r="BX242" s="262"/>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2"/>
      <c r="CV242" s="262"/>
    </row>
    <row r="243" spans="1:100">
      <c r="A243" s="403"/>
      <c r="B243" s="403"/>
      <c r="C243" s="403"/>
      <c r="D243" s="403"/>
      <c r="E243" s="403"/>
      <c r="F243" s="403"/>
      <c r="G243" s="403"/>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c r="BS243" s="262"/>
      <c r="BT243" s="262"/>
      <c r="BU243" s="262"/>
      <c r="BV243" s="262"/>
      <c r="BW243" s="262"/>
      <c r="BX243" s="262"/>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2"/>
      <c r="CV243" s="262"/>
    </row>
    <row r="244" spans="1:100">
      <c r="A244" s="403"/>
      <c r="B244" s="403"/>
      <c r="C244" s="403"/>
      <c r="D244" s="403"/>
      <c r="E244" s="403"/>
      <c r="F244" s="403"/>
      <c r="G244" s="403"/>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c r="BS244" s="262"/>
      <c r="BT244" s="262"/>
      <c r="BU244" s="262"/>
      <c r="BV244" s="262"/>
      <c r="BW244" s="262"/>
      <c r="BX244" s="262"/>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2"/>
      <c r="CV244" s="262"/>
    </row>
    <row r="245" spans="1:100">
      <c r="A245" s="403"/>
      <c r="B245" s="403"/>
      <c r="C245" s="403"/>
      <c r="D245" s="403"/>
      <c r="E245" s="403"/>
      <c r="F245" s="403"/>
      <c r="G245" s="403"/>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c r="BS245" s="262"/>
      <c r="BT245" s="262"/>
      <c r="BU245" s="262"/>
      <c r="BV245" s="262"/>
      <c r="BW245" s="262"/>
      <c r="BX245" s="262"/>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2"/>
      <c r="CV245" s="262"/>
    </row>
    <row r="246" spans="1:100">
      <c r="A246" s="403"/>
      <c r="B246" s="403"/>
      <c r="C246" s="403"/>
      <c r="D246" s="403"/>
      <c r="E246" s="403"/>
      <c r="F246" s="403"/>
      <c r="G246" s="403"/>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c r="BS246" s="262"/>
      <c r="BT246" s="262"/>
      <c r="BU246" s="262"/>
      <c r="BV246" s="262"/>
      <c r="BW246" s="262"/>
      <c r="BX246" s="262"/>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2"/>
      <c r="CV246" s="262"/>
    </row>
    <row r="247" spans="1:100">
      <c r="A247" s="403"/>
      <c r="B247" s="403"/>
      <c r="C247" s="403"/>
      <c r="D247" s="403"/>
      <c r="E247" s="403"/>
      <c r="F247" s="403"/>
      <c r="G247" s="403"/>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c r="BS247" s="262"/>
      <c r="BT247" s="262"/>
      <c r="BU247" s="262"/>
      <c r="BV247" s="262"/>
      <c r="BW247" s="262"/>
      <c r="BX247" s="262"/>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2"/>
      <c r="CV247" s="262"/>
    </row>
    <row r="248" spans="1:100">
      <c r="A248" s="403"/>
      <c r="B248" s="403"/>
      <c r="C248" s="403"/>
      <c r="D248" s="403"/>
      <c r="E248" s="403"/>
      <c r="F248" s="403"/>
      <c r="G248" s="403"/>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c r="BS248" s="262"/>
      <c r="BT248" s="262"/>
      <c r="BU248" s="262"/>
      <c r="BV248" s="262"/>
      <c r="BW248" s="262"/>
      <c r="BX248" s="262"/>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2"/>
      <c r="CV248" s="262"/>
    </row>
    <row r="249" spans="1:100">
      <c r="A249" s="403"/>
      <c r="B249" s="403"/>
      <c r="C249" s="403"/>
      <c r="D249" s="403"/>
      <c r="E249" s="403"/>
      <c r="F249" s="403"/>
      <c r="G249" s="403"/>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c r="BS249" s="262"/>
      <c r="BT249" s="262"/>
      <c r="BU249" s="262"/>
      <c r="BV249" s="262"/>
      <c r="BW249" s="262"/>
      <c r="BX249" s="262"/>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2"/>
      <c r="CV249" s="262"/>
    </row>
    <row r="250" spans="1:100">
      <c r="A250" s="403"/>
      <c r="B250" s="403"/>
      <c r="C250" s="403"/>
      <c r="D250" s="403"/>
      <c r="E250" s="403"/>
      <c r="F250" s="403"/>
      <c r="G250" s="403"/>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c r="BS250" s="262"/>
      <c r="BT250" s="262"/>
      <c r="BU250" s="262"/>
      <c r="BV250" s="262"/>
      <c r="BW250" s="262"/>
      <c r="BX250" s="262"/>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2"/>
      <c r="CV250" s="262"/>
    </row>
    <row r="251" spans="1:100">
      <c r="A251" s="403"/>
      <c r="B251" s="403"/>
      <c r="C251" s="403"/>
      <c r="D251" s="403"/>
      <c r="E251" s="403"/>
      <c r="F251" s="403"/>
      <c r="G251" s="403"/>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c r="BS251" s="262"/>
      <c r="BT251" s="262"/>
      <c r="BU251" s="262"/>
      <c r="BV251" s="262"/>
      <c r="BW251" s="262"/>
      <c r="BX251" s="262"/>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2"/>
      <c r="CV251" s="262"/>
    </row>
    <row r="252" spans="1:100">
      <c r="A252" s="403"/>
      <c r="B252" s="403"/>
      <c r="C252" s="403"/>
      <c r="D252" s="403"/>
      <c r="E252" s="403"/>
      <c r="F252" s="403"/>
      <c r="G252" s="403"/>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c r="BS252" s="262"/>
      <c r="BT252" s="262"/>
      <c r="BU252" s="262"/>
      <c r="BV252" s="262"/>
      <c r="BW252" s="262"/>
      <c r="BX252" s="262"/>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2"/>
      <c r="CV252" s="262"/>
    </row>
    <row r="253" spans="1:100">
      <c r="A253" s="403"/>
      <c r="B253" s="403"/>
      <c r="C253" s="403"/>
      <c r="D253" s="403"/>
      <c r="E253" s="403"/>
      <c r="F253" s="403"/>
      <c r="G253" s="403"/>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c r="BS253" s="262"/>
      <c r="BT253" s="262"/>
      <c r="BU253" s="262"/>
      <c r="BV253" s="262"/>
      <c r="BW253" s="262"/>
      <c r="BX253" s="262"/>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2"/>
      <c r="CV253" s="262"/>
    </row>
    <row r="254" spans="1:100">
      <c r="A254" s="403"/>
      <c r="B254" s="403"/>
      <c r="C254" s="403"/>
      <c r="D254" s="403"/>
      <c r="E254" s="403"/>
      <c r="F254" s="403"/>
      <c r="G254" s="403"/>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c r="BS254" s="262"/>
      <c r="BT254" s="262"/>
      <c r="BU254" s="262"/>
      <c r="BV254" s="262"/>
      <c r="BW254" s="262"/>
      <c r="BX254" s="262"/>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2"/>
      <c r="CV254" s="262"/>
    </row>
    <row r="255" spans="1:100">
      <c r="A255" s="403"/>
      <c r="B255" s="403"/>
      <c r="C255" s="403"/>
      <c r="D255" s="403"/>
      <c r="E255" s="403"/>
      <c r="F255" s="403"/>
      <c r="G255" s="403"/>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c r="BS255" s="262"/>
      <c r="BT255" s="262"/>
      <c r="BU255" s="262"/>
      <c r="BV255" s="262"/>
      <c r="BW255" s="262"/>
      <c r="BX255" s="262"/>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2"/>
      <c r="CV255" s="262"/>
    </row>
    <row r="256" spans="1:100">
      <c r="A256" s="403"/>
      <c r="B256" s="403"/>
      <c r="C256" s="403"/>
      <c r="D256" s="403"/>
      <c r="E256" s="403"/>
      <c r="F256" s="403"/>
      <c r="G256" s="403"/>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c r="BS256" s="262"/>
      <c r="BT256" s="262"/>
      <c r="BU256" s="262"/>
      <c r="BV256" s="262"/>
      <c r="BW256" s="262"/>
      <c r="BX256" s="262"/>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2"/>
      <c r="CV256" s="262"/>
    </row>
    <row r="257" spans="1:100">
      <c r="A257" s="403"/>
      <c r="B257" s="403"/>
      <c r="C257" s="403"/>
      <c r="D257" s="403"/>
      <c r="E257" s="403"/>
      <c r="F257" s="403"/>
      <c r="G257" s="403"/>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c r="BS257" s="262"/>
      <c r="BT257" s="262"/>
      <c r="BU257" s="262"/>
      <c r="BV257" s="262"/>
      <c r="BW257" s="262"/>
      <c r="BX257" s="262"/>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2"/>
      <c r="CV257" s="262"/>
    </row>
    <row r="258" spans="1:100">
      <c r="A258" s="403"/>
      <c r="B258" s="403"/>
      <c r="C258" s="403"/>
      <c r="D258" s="403"/>
      <c r="E258" s="403"/>
      <c r="F258" s="403"/>
      <c r="G258" s="403"/>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c r="BS258" s="262"/>
      <c r="BT258" s="262"/>
      <c r="BU258" s="262"/>
      <c r="BV258" s="262"/>
      <c r="BW258" s="262"/>
      <c r="BX258" s="262"/>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2"/>
      <c r="CV258" s="262"/>
    </row>
    <row r="259" spans="1:100">
      <c r="A259" s="403"/>
      <c r="B259" s="403"/>
      <c r="C259" s="403"/>
      <c r="D259" s="403"/>
      <c r="E259" s="403"/>
      <c r="F259" s="403"/>
      <c r="G259" s="403"/>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c r="BS259" s="262"/>
      <c r="BT259" s="262"/>
      <c r="BU259" s="262"/>
      <c r="BV259" s="262"/>
      <c r="BW259" s="262"/>
      <c r="BX259" s="262"/>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2"/>
      <c r="CV259" s="262"/>
    </row>
    <row r="260" spans="1:100">
      <c r="A260" s="403"/>
      <c r="B260" s="403"/>
      <c r="C260" s="403"/>
      <c r="D260" s="403"/>
      <c r="E260" s="403"/>
      <c r="F260" s="403"/>
      <c r="G260" s="403"/>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c r="BS260" s="262"/>
      <c r="BT260" s="262"/>
      <c r="BU260" s="262"/>
      <c r="BV260" s="262"/>
      <c r="BW260" s="262"/>
      <c r="BX260" s="262"/>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2"/>
      <c r="CV260" s="262"/>
    </row>
    <row r="261" spans="1:100">
      <c r="A261" s="403"/>
      <c r="B261" s="403"/>
      <c r="C261" s="403"/>
      <c r="D261" s="403"/>
      <c r="E261" s="403"/>
      <c r="F261" s="403"/>
      <c r="G261" s="403"/>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c r="BS261" s="262"/>
      <c r="BT261" s="262"/>
      <c r="BU261" s="262"/>
      <c r="BV261" s="262"/>
      <c r="BW261" s="262"/>
      <c r="BX261" s="262"/>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2"/>
      <c r="CV261" s="262"/>
    </row>
    <row r="262" spans="1:100">
      <c r="B262" s="403"/>
      <c r="C262" s="403"/>
      <c r="D262" s="403"/>
      <c r="E262" s="403"/>
      <c r="F262" s="403"/>
      <c r="G262" s="403"/>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c r="BS262" s="262"/>
      <c r="BT262" s="262"/>
      <c r="BU262" s="262"/>
      <c r="BV262" s="262"/>
      <c r="BW262" s="262"/>
      <c r="BX262" s="262"/>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2"/>
      <c r="CV262" s="262"/>
    </row>
    <row r="263" spans="1:100">
      <c r="B263" s="403"/>
      <c r="C263" s="403"/>
      <c r="D263" s="403"/>
      <c r="E263" s="403"/>
      <c r="F263" s="403"/>
      <c r="G263" s="403"/>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c r="BS263" s="262"/>
      <c r="BT263" s="262"/>
      <c r="BU263" s="262"/>
      <c r="BV263" s="262"/>
      <c r="BW263" s="262"/>
      <c r="BX263" s="262"/>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2"/>
      <c r="CV263" s="262"/>
    </row>
    <row r="264" spans="1:100">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c r="BS264" s="262"/>
      <c r="BT264" s="262"/>
      <c r="BU264" s="262"/>
      <c r="BV264" s="262"/>
      <c r="BW264" s="262"/>
      <c r="BX264" s="262"/>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2"/>
      <c r="CV264" s="262"/>
    </row>
    <row r="265" spans="1:100">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c r="BS265" s="262"/>
      <c r="BT265" s="262"/>
      <c r="BU265" s="262"/>
      <c r="BV265" s="262"/>
      <c r="BW265" s="262"/>
      <c r="BX265" s="262"/>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2"/>
      <c r="CV265" s="262"/>
    </row>
    <row r="266" spans="1:100">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c r="BS266" s="262"/>
      <c r="BT266" s="262"/>
      <c r="BU266" s="262"/>
      <c r="BV266" s="262"/>
      <c r="BW266" s="262"/>
      <c r="BX266" s="262"/>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2"/>
      <c r="CV266" s="262"/>
    </row>
    <row r="267" spans="1:100">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c r="BS267" s="262"/>
      <c r="BT267" s="262"/>
      <c r="BU267" s="262"/>
      <c r="BV267" s="262"/>
      <c r="BW267" s="262"/>
      <c r="BX267" s="262"/>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2"/>
      <c r="CV267" s="262"/>
    </row>
    <row r="268" spans="1:100">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c r="BS268" s="262"/>
      <c r="BT268" s="262"/>
      <c r="BU268" s="262"/>
      <c r="BV268" s="262"/>
      <c r="BW268" s="262"/>
      <c r="BX268" s="262"/>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2"/>
      <c r="CV268" s="262"/>
    </row>
    <row r="269" spans="1:100">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c r="BS269" s="262"/>
      <c r="BT269" s="262"/>
      <c r="BU269" s="262"/>
      <c r="BV269" s="262"/>
      <c r="BW269" s="262"/>
      <c r="BX269" s="262"/>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2"/>
      <c r="CV269" s="262"/>
    </row>
    <row r="270" spans="1:100">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c r="BS270" s="262"/>
      <c r="BT270" s="262"/>
      <c r="BU270" s="262"/>
      <c r="BV270" s="262"/>
      <c r="BW270" s="262"/>
      <c r="BX270" s="262"/>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2"/>
      <c r="CV270" s="262"/>
    </row>
    <row r="271" spans="1:100">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c r="BS271" s="262"/>
      <c r="BT271" s="262"/>
      <c r="BU271" s="262"/>
      <c r="BV271" s="262"/>
      <c r="BW271" s="262"/>
      <c r="BX271" s="262"/>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2"/>
      <c r="CV271" s="262"/>
    </row>
    <row r="272" spans="1:100">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c r="BS272" s="262"/>
      <c r="BT272" s="262"/>
      <c r="BU272" s="262"/>
      <c r="BV272" s="262"/>
      <c r="BW272" s="262"/>
      <c r="BX272" s="262"/>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2"/>
      <c r="CV272" s="262"/>
    </row>
    <row r="273" spans="33:100">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c r="BS273" s="262"/>
      <c r="BT273" s="262"/>
      <c r="BU273" s="262"/>
      <c r="BV273" s="262"/>
      <c r="BW273" s="262"/>
      <c r="BX273" s="262"/>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2"/>
      <c r="CV273" s="262"/>
    </row>
    <row r="274" spans="33:100">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c r="BS274" s="262"/>
      <c r="BT274" s="262"/>
      <c r="BU274" s="262"/>
      <c r="BV274" s="262"/>
      <c r="BW274" s="262"/>
      <c r="BX274" s="262"/>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2"/>
      <c r="CV274" s="262"/>
    </row>
    <row r="275" spans="33:100">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c r="BS275" s="262"/>
      <c r="BT275" s="262"/>
      <c r="BU275" s="262"/>
      <c r="BV275" s="262"/>
      <c r="BW275" s="262"/>
      <c r="BX275" s="262"/>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2"/>
      <c r="CV275" s="262"/>
    </row>
    <row r="276" spans="33:100">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c r="BS276" s="262"/>
      <c r="BT276" s="262"/>
      <c r="BU276" s="262"/>
      <c r="BV276" s="262"/>
      <c r="BW276" s="262"/>
      <c r="BX276" s="262"/>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2"/>
      <c r="CV276" s="262"/>
    </row>
    <row r="277" spans="33:100">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c r="BS277" s="262"/>
      <c r="BT277" s="262"/>
      <c r="BU277" s="262"/>
      <c r="BV277" s="262"/>
      <c r="BW277" s="262"/>
      <c r="BX277" s="262"/>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2"/>
      <c r="CV277" s="262"/>
    </row>
    <row r="278" spans="33:100">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c r="BS278" s="262"/>
      <c r="BT278" s="262"/>
      <c r="BU278" s="262"/>
      <c r="BV278" s="262"/>
      <c r="BW278" s="262"/>
      <c r="BX278" s="262"/>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2"/>
      <c r="CV278" s="262"/>
    </row>
    <row r="279" spans="33:100">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c r="BS279" s="262"/>
      <c r="BT279" s="262"/>
      <c r="BU279" s="262"/>
      <c r="BV279" s="262"/>
      <c r="BW279" s="262"/>
      <c r="BX279" s="262"/>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2"/>
      <c r="CV279" s="262"/>
    </row>
    <row r="280" spans="33:100">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c r="BS280" s="262"/>
      <c r="BT280" s="262"/>
      <c r="BU280" s="262"/>
      <c r="BV280" s="262"/>
      <c r="BW280" s="262"/>
      <c r="BX280" s="262"/>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2"/>
      <c r="CV280" s="262"/>
    </row>
    <row r="281" spans="33:100">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262"/>
      <c r="BT281" s="262"/>
      <c r="BU281" s="262"/>
      <c r="BV281" s="262"/>
      <c r="BW281" s="262"/>
      <c r="BX281" s="262"/>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2"/>
      <c r="CV281" s="262"/>
    </row>
    <row r="282" spans="33:100">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c r="BS282" s="262"/>
      <c r="BT282" s="262"/>
      <c r="BU282" s="262"/>
      <c r="BV282" s="262"/>
      <c r="BW282" s="262"/>
      <c r="BX282" s="262"/>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2"/>
      <c r="CV282" s="262"/>
    </row>
    <row r="283" spans="33:100">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c r="BS283" s="262"/>
      <c r="BT283" s="262"/>
      <c r="BU283" s="262"/>
      <c r="BV283" s="262"/>
      <c r="BW283" s="262"/>
      <c r="BX283" s="262"/>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2"/>
      <c r="CV283" s="262"/>
    </row>
    <row r="284" spans="33:100">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c r="BS284" s="262"/>
      <c r="BT284" s="262"/>
      <c r="BU284" s="262"/>
      <c r="BV284" s="262"/>
      <c r="BW284" s="262"/>
      <c r="BX284" s="262"/>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2"/>
      <c r="CV284" s="262"/>
    </row>
    <row r="285" spans="33:100">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c r="BS285" s="262"/>
      <c r="BT285" s="262"/>
      <c r="BU285" s="262"/>
      <c r="BV285" s="262"/>
      <c r="BW285" s="262"/>
      <c r="BX285" s="262"/>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2"/>
      <c r="CV285" s="262"/>
    </row>
    <row r="286" spans="33:100">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c r="BS286" s="262"/>
      <c r="BT286" s="262"/>
      <c r="BU286" s="262"/>
      <c r="BV286" s="262"/>
      <c r="BW286" s="262"/>
      <c r="BX286" s="262"/>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2"/>
      <c r="CV286" s="262"/>
    </row>
    <row r="287" spans="33:100">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c r="BS287" s="262"/>
      <c r="BT287" s="262"/>
      <c r="BU287" s="262"/>
      <c r="BV287" s="262"/>
      <c r="BW287" s="262"/>
      <c r="BX287" s="262"/>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2"/>
      <c r="CV287" s="262"/>
    </row>
    <row r="288" spans="33:100">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c r="BS288" s="262"/>
      <c r="BT288" s="262"/>
      <c r="BU288" s="262"/>
      <c r="BV288" s="262"/>
      <c r="BW288" s="262"/>
      <c r="BX288" s="262"/>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2"/>
      <c r="CV288" s="262"/>
    </row>
    <row r="289" spans="33:100">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c r="BS289" s="262"/>
      <c r="BT289" s="262"/>
      <c r="BU289" s="262"/>
      <c r="BV289" s="262"/>
      <c r="BW289" s="262"/>
      <c r="BX289" s="262"/>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2"/>
      <c r="CV289" s="262"/>
    </row>
    <row r="290" spans="33:100">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262"/>
      <c r="BT290" s="262"/>
      <c r="BU290" s="262"/>
      <c r="BV290" s="262"/>
      <c r="BW290" s="262"/>
      <c r="BX290" s="262"/>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2"/>
      <c r="CV290" s="262"/>
    </row>
    <row r="291" spans="33:100">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c r="BS291" s="262"/>
      <c r="BT291" s="262"/>
      <c r="BU291" s="262"/>
      <c r="BV291" s="262"/>
      <c r="BW291" s="262"/>
      <c r="BX291" s="262"/>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2"/>
      <c r="CV291" s="262"/>
    </row>
    <row r="292" spans="33:100">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c r="BS292" s="262"/>
      <c r="BT292" s="262"/>
      <c r="BU292" s="262"/>
      <c r="BV292" s="262"/>
      <c r="BW292" s="262"/>
      <c r="BX292" s="262"/>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2"/>
      <c r="CV292" s="262"/>
    </row>
    <row r="293" spans="33:100">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c r="BS293" s="262"/>
      <c r="BT293" s="262"/>
      <c r="BU293" s="262"/>
      <c r="BV293" s="262"/>
      <c r="BW293" s="262"/>
      <c r="BX293" s="262"/>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2"/>
      <c r="CV293" s="262"/>
    </row>
    <row r="294" spans="33:100">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c r="BS294" s="262"/>
      <c r="BT294" s="262"/>
      <c r="BU294" s="262"/>
      <c r="BV294" s="262"/>
      <c r="BW294" s="262"/>
      <c r="BX294" s="262"/>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2"/>
      <c r="CV294" s="262"/>
    </row>
    <row r="295" spans="33:100">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c r="BS295" s="262"/>
      <c r="BT295" s="262"/>
      <c r="BU295" s="262"/>
      <c r="BV295" s="262"/>
      <c r="BW295" s="262"/>
      <c r="BX295" s="262"/>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2"/>
      <c r="CV295" s="262"/>
    </row>
    <row r="296" spans="33:100">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c r="BS296" s="262"/>
      <c r="BT296" s="262"/>
      <c r="BU296" s="262"/>
      <c r="BV296" s="262"/>
      <c r="BW296" s="262"/>
      <c r="BX296" s="262"/>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2"/>
      <c r="CV296" s="262"/>
    </row>
    <row r="297" spans="33:100">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c r="BS297" s="262"/>
      <c r="BT297" s="262"/>
      <c r="BU297" s="262"/>
      <c r="BV297" s="262"/>
      <c r="BW297" s="262"/>
      <c r="BX297" s="262"/>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2"/>
      <c r="CV297" s="262"/>
    </row>
    <row r="298" spans="33:100">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c r="BS298" s="262"/>
      <c r="BT298" s="262"/>
      <c r="BU298" s="262"/>
      <c r="BV298" s="262"/>
      <c r="BW298" s="262"/>
      <c r="BX298" s="262"/>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2"/>
      <c r="CV298" s="262"/>
    </row>
    <row r="299" spans="33:100">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c r="BS299" s="262"/>
      <c r="BT299" s="262"/>
      <c r="BU299" s="262"/>
      <c r="BV299" s="262"/>
      <c r="BW299" s="262"/>
      <c r="BX299" s="262"/>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2"/>
      <c r="CV299" s="262"/>
    </row>
    <row r="300" spans="33:100">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c r="BS300" s="262"/>
      <c r="BT300" s="262"/>
      <c r="BU300" s="262"/>
      <c r="BV300" s="262"/>
      <c r="BW300" s="262"/>
      <c r="BX300" s="262"/>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2"/>
      <c r="CV300" s="262"/>
    </row>
    <row r="301" spans="33:100">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c r="BS301" s="262"/>
      <c r="BT301" s="262"/>
      <c r="BU301" s="262"/>
      <c r="BV301" s="262"/>
      <c r="BW301" s="262"/>
      <c r="BX301" s="262"/>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2"/>
      <c r="CV301" s="262"/>
    </row>
    <row r="302" spans="33:100">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c r="BS302" s="262"/>
      <c r="BT302" s="262"/>
      <c r="BU302" s="262"/>
      <c r="BV302" s="262"/>
      <c r="BW302" s="262"/>
      <c r="BX302" s="262"/>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2"/>
      <c r="CV302" s="262"/>
    </row>
    <row r="303" spans="33:100">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c r="BS303" s="262"/>
      <c r="BT303" s="262"/>
      <c r="BU303" s="262"/>
      <c r="BV303" s="262"/>
      <c r="BW303" s="262"/>
      <c r="BX303" s="262"/>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2"/>
      <c r="CV303" s="262"/>
    </row>
    <row r="304" spans="33:100">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c r="BS304" s="262"/>
      <c r="BT304" s="262"/>
      <c r="BU304" s="262"/>
      <c r="BV304" s="262"/>
      <c r="BW304" s="262"/>
      <c r="BX304" s="262"/>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2"/>
      <c r="CV304" s="262"/>
    </row>
    <row r="305" spans="33:100">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c r="BS305" s="262"/>
      <c r="BT305" s="262"/>
      <c r="BU305" s="262"/>
      <c r="BV305" s="262"/>
      <c r="BW305" s="262"/>
      <c r="BX305" s="262"/>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2"/>
      <c r="CV305" s="262"/>
    </row>
    <row r="306" spans="33:100">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c r="BS306" s="262"/>
      <c r="BT306" s="262"/>
      <c r="BU306" s="262"/>
      <c r="BV306" s="262"/>
      <c r="BW306" s="262"/>
      <c r="BX306" s="262"/>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2"/>
      <c r="CV306" s="262"/>
    </row>
    <row r="307" spans="33:100">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c r="BS307" s="262"/>
      <c r="BT307" s="262"/>
      <c r="BU307" s="262"/>
      <c r="BV307" s="262"/>
      <c r="BW307" s="262"/>
      <c r="BX307" s="262"/>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2"/>
      <c r="CV307" s="262"/>
    </row>
    <row r="308" spans="33:100">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c r="BS308" s="262"/>
      <c r="BT308" s="262"/>
      <c r="BU308" s="262"/>
      <c r="BV308" s="262"/>
      <c r="BW308" s="262"/>
      <c r="BX308" s="262"/>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2"/>
      <c r="CV308" s="262"/>
    </row>
    <row r="309" spans="33:100">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c r="BS309" s="262"/>
      <c r="BT309" s="262"/>
      <c r="BU309" s="262"/>
      <c r="BV309" s="262"/>
      <c r="BW309" s="262"/>
      <c r="BX309" s="262"/>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2"/>
      <c r="CV309" s="262"/>
    </row>
    <row r="310" spans="33:100">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c r="BS310" s="262"/>
      <c r="BT310" s="262"/>
      <c r="BU310" s="262"/>
      <c r="BV310" s="262"/>
      <c r="BW310" s="262"/>
      <c r="BX310" s="262"/>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2"/>
      <c r="CV310" s="262"/>
    </row>
    <row r="311" spans="33:100">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c r="BS311" s="262"/>
      <c r="BT311" s="262"/>
      <c r="BU311" s="262"/>
      <c r="BV311" s="262"/>
      <c r="BW311" s="262"/>
      <c r="BX311" s="262"/>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2"/>
      <c r="CV311" s="262"/>
    </row>
    <row r="312" spans="33:100">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c r="BS312" s="262"/>
      <c r="BT312" s="262"/>
      <c r="BU312" s="262"/>
      <c r="BV312" s="262"/>
      <c r="BW312" s="262"/>
      <c r="BX312" s="262"/>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2"/>
      <c r="CV312" s="262"/>
    </row>
    <row r="313" spans="33:100">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c r="BS313" s="262"/>
      <c r="BT313" s="262"/>
      <c r="BU313" s="262"/>
      <c r="BV313" s="262"/>
      <c r="BW313" s="262"/>
      <c r="BX313" s="262"/>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2"/>
      <c r="CV313" s="262"/>
    </row>
    <row r="314" spans="33:100">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c r="BS314" s="262"/>
      <c r="BT314" s="262"/>
      <c r="BU314" s="262"/>
      <c r="BV314" s="262"/>
      <c r="BW314" s="262"/>
      <c r="BX314" s="262"/>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2"/>
      <c r="CV314" s="262"/>
    </row>
    <row r="315" spans="33:100">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c r="BS315" s="262"/>
      <c r="BT315" s="262"/>
      <c r="BU315" s="262"/>
      <c r="BV315" s="262"/>
      <c r="BW315" s="262"/>
      <c r="BX315" s="262"/>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2"/>
      <c r="CV315" s="262"/>
    </row>
    <row r="316" spans="33:100">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c r="BS316" s="262"/>
      <c r="BT316" s="262"/>
      <c r="BU316" s="262"/>
      <c r="BV316" s="262"/>
      <c r="BW316" s="262"/>
      <c r="BX316" s="262"/>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2"/>
      <c r="CV316" s="262"/>
    </row>
    <row r="317" spans="33:100">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c r="BS317" s="262"/>
      <c r="BT317" s="262"/>
      <c r="BU317" s="262"/>
      <c r="BV317" s="262"/>
      <c r="BW317" s="262"/>
      <c r="BX317" s="262"/>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2"/>
      <c r="CV317" s="262"/>
    </row>
    <row r="318" spans="33:100">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c r="BS318" s="262"/>
      <c r="BT318" s="262"/>
      <c r="BU318" s="262"/>
      <c r="BV318" s="262"/>
      <c r="BW318" s="262"/>
      <c r="BX318" s="262"/>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2"/>
      <c r="CV318" s="262"/>
    </row>
    <row r="319" spans="33:100">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c r="BS319" s="262"/>
      <c r="BT319" s="262"/>
      <c r="BU319" s="262"/>
      <c r="BV319" s="262"/>
      <c r="BW319" s="262"/>
      <c r="BX319" s="262"/>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2"/>
      <c r="CV319" s="262"/>
    </row>
    <row r="320" spans="33:100">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c r="BS320" s="262"/>
      <c r="BT320" s="262"/>
      <c r="BU320" s="262"/>
      <c r="BV320" s="262"/>
      <c r="BW320" s="262"/>
      <c r="BX320" s="262"/>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2"/>
      <c r="CV320" s="262"/>
    </row>
    <row r="321" spans="33:100">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c r="BS321" s="262"/>
      <c r="BT321" s="262"/>
      <c r="BU321" s="262"/>
      <c r="BV321" s="262"/>
      <c r="BW321" s="262"/>
      <c r="BX321" s="262"/>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2"/>
      <c r="CV321" s="262"/>
    </row>
    <row r="322" spans="33:100">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c r="BS322" s="262"/>
      <c r="BT322" s="262"/>
      <c r="BU322" s="262"/>
      <c r="BV322" s="262"/>
      <c r="BW322" s="262"/>
      <c r="BX322" s="262"/>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2"/>
      <c r="CV322" s="262"/>
    </row>
    <row r="323" spans="33:100">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c r="BS323" s="262"/>
      <c r="BT323" s="262"/>
      <c r="BU323" s="262"/>
      <c r="BV323" s="262"/>
      <c r="BW323" s="262"/>
      <c r="BX323" s="262"/>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2"/>
      <c r="CV323" s="262"/>
    </row>
    <row r="324" spans="33:100">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c r="BS324" s="262"/>
      <c r="BT324" s="262"/>
      <c r="BU324" s="262"/>
      <c r="BV324" s="262"/>
      <c r="BW324" s="262"/>
      <c r="BX324" s="262"/>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2"/>
      <c r="CV324" s="262"/>
    </row>
    <row r="325" spans="33:100">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c r="BS325" s="262"/>
      <c r="BT325" s="262"/>
      <c r="BU325" s="262"/>
      <c r="BV325" s="262"/>
      <c r="BW325" s="262"/>
      <c r="BX325" s="262"/>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2"/>
      <c r="CV325" s="262"/>
    </row>
    <row r="326" spans="33:100">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c r="BS326" s="262"/>
      <c r="BT326" s="262"/>
      <c r="BU326" s="262"/>
      <c r="BV326" s="262"/>
      <c r="BW326" s="262"/>
      <c r="BX326" s="262"/>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2"/>
      <c r="CV326" s="262"/>
    </row>
    <row r="327" spans="33:100">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c r="BS327" s="262"/>
      <c r="BT327" s="262"/>
      <c r="BU327" s="262"/>
      <c r="BV327" s="262"/>
      <c r="BW327" s="262"/>
      <c r="BX327" s="262"/>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2"/>
      <c r="CV327" s="262"/>
    </row>
    <row r="328" spans="33:100">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c r="BS328" s="262"/>
      <c r="BT328" s="262"/>
      <c r="BU328" s="262"/>
      <c r="BV328" s="262"/>
      <c r="BW328" s="262"/>
      <c r="BX328" s="262"/>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2"/>
      <c r="CV328" s="262"/>
    </row>
    <row r="329" spans="33:100">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c r="BS329" s="262"/>
      <c r="BT329" s="262"/>
      <c r="BU329" s="262"/>
      <c r="BV329" s="262"/>
      <c r="BW329" s="262"/>
      <c r="BX329" s="262"/>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2"/>
      <c r="CV329" s="262"/>
    </row>
    <row r="330" spans="33:100">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c r="BS330" s="262"/>
      <c r="BT330" s="262"/>
      <c r="BU330" s="262"/>
      <c r="BV330" s="262"/>
      <c r="BW330" s="262"/>
      <c r="BX330" s="262"/>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2"/>
      <c r="CV330" s="262"/>
    </row>
    <row r="331" spans="33:100">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c r="BS331" s="262"/>
      <c r="BT331" s="262"/>
      <c r="BU331" s="262"/>
      <c r="BV331" s="262"/>
      <c r="BW331" s="262"/>
      <c r="BX331" s="262"/>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2"/>
      <c r="CV331" s="262"/>
    </row>
    <row r="332" spans="33:100">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c r="BS332" s="262"/>
      <c r="BT332" s="262"/>
      <c r="BU332" s="262"/>
      <c r="BV332" s="262"/>
      <c r="BW332" s="262"/>
      <c r="BX332" s="262"/>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2"/>
      <c r="CV332" s="262"/>
    </row>
    <row r="333" spans="33:100">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c r="BS333" s="262"/>
      <c r="BT333" s="262"/>
      <c r="BU333" s="262"/>
      <c r="BV333" s="262"/>
      <c r="BW333" s="262"/>
      <c r="BX333" s="262"/>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2"/>
      <c r="CV333" s="262"/>
    </row>
    <row r="334" spans="33:100">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c r="BS334" s="262"/>
      <c r="BT334" s="262"/>
      <c r="BU334" s="262"/>
      <c r="BV334" s="262"/>
      <c r="BW334" s="262"/>
      <c r="BX334" s="262"/>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2"/>
      <c r="CV334" s="262"/>
    </row>
    <row r="335" spans="33:100">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c r="BS335" s="262"/>
      <c r="BT335" s="262"/>
      <c r="BU335" s="262"/>
      <c r="BV335" s="262"/>
      <c r="BW335" s="262"/>
      <c r="BX335" s="262"/>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2"/>
      <c r="CV335" s="262"/>
    </row>
    <row r="336" spans="33:100">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c r="BS336" s="262"/>
      <c r="BT336" s="262"/>
      <c r="BU336" s="262"/>
      <c r="BV336" s="262"/>
      <c r="BW336" s="262"/>
      <c r="BX336" s="262"/>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2"/>
      <c r="CV336" s="262"/>
    </row>
    <row r="337" spans="33:100">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c r="BS337" s="262"/>
      <c r="BT337" s="262"/>
      <c r="BU337" s="262"/>
      <c r="BV337" s="262"/>
      <c r="BW337" s="262"/>
      <c r="BX337" s="262"/>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2"/>
      <c r="CV337" s="262"/>
    </row>
    <row r="338" spans="33:100">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c r="BS338" s="262"/>
      <c r="BT338" s="262"/>
      <c r="BU338" s="262"/>
      <c r="BV338" s="262"/>
      <c r="BW338" s="262"/>
      <c r="BX338" s="262"/>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2"/>
      <c r="CV338" s="262"/>
    </row>
    <row r="339" spans="33:100">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c r="BS339" s="262"/>
      <c r="BT339" s="262"/>
      <c r="BU339" s="262"/>
      <c r="BV339" s="262"/>
      <c r="BW339" s="262"/>
      <c r="BX339" s="262"/>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2"/>
      <c r="CV339" s="262"/>
    </row>
    <row r="340" spans="33:100">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c r="BS340" s="262"/>
      <c r="BT340" s="262"/>
      <c r="BU340" s="262"/>
      <c r="BV340" s="262"/>
      <c r="BW340" s="262"/>
      <c r="BX340" s="262"/>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2"/>
      <c r="CV340" s="262"/>
    </row>
    <row r="341" spans="33:100">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c r="BS341" s="262"/>
      <c r="BT341" s="262"/>
      <c r="BU341" s="262"/>
      <c r="BV341" s="262"/>
      <c r="BW341" s="262"/>
      <c r="BX341" s="262"/>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2"/>
      <c r="CV341" s="262"/>
    </row>
    <row r="342" spans="33:100">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c r="BS342" s="262"/>
      <c r="BT342" s="262"/>
      <c r="BU342" s="262"/>
      <c r="BV342" s="262"/>
      <c r="BW342" s="262"/>
      <c r="BX342" s="262"/>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2"/>
      <c r="CV342" s="262"/>
    </row>
    <row r="343" spans="33:100">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c r="BS343" s="262"/>
      <c r="BT343" s="262"/>
      <c r="BU343" s="262"/>
      <c r="BV343" s="262"/>
      <c r="BW343" s="262"/>
      <c r="BX343" s="262"/>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2"/>
      <c r="CV343" s="262"/>
    </row>
    <row r="344" spans="33:100">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c r="BS344" s="262"/>
      <c r="BT344" s="262"/>
      <c r="BU344" s="262"/>
      <c r="BV344" s="262"/>
      <c r="BW344" s="262"/>
      <c r="BX344" s="262"/>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2"/>
      <c r="CV344" s="262"/>
    </row>
    <row r="345" spans="33:100">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c r="BS345" s="262"/>
      <c r="BT345" s="262"/>
      <c r="BU345" s="262"/>
      <c r="BV345" s="262"/>
      <c r="BW345" s="262"/>
      <c r="BX345" s="262"/>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2"/>
      <c r="CV345" s="262"/>
    </row>
    <row r="346" spans="33:100">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c r="BS346" s="262"/>
      <c r="BT346" s="262"/>
      <c r="BU346" s="262"/>
      <c r="BV346" s="262"/>
      <c r="BW346" s="262"/>
      <c r="BX346" s="262"/>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2"/>
      <c r="CV346" s="262"/>
    </row>
    <row r="347" spans="33:100">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c r="BS347" s="262"/>
      <c r="BT347" s="262"/>
      <c r="BU347" s="262"/>
      <c r="BV347" s="262"/>
      <c r="BW347" s="262"/>
      <c r="BX347" s="262"/>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2"/>
      <c r="CV347" s="262"/>
    </row>
    <row r="348" spans="33:100">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c r="BS348" s="262"/>
      <c r="BT348" s="262"/>
      <c r="BU348" s="262"/>
      <c r="BV348" s="262"/>
      <c r="BW348" s="262"/>
      <c r="BX348" s="262"/>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2"/>
      <c r="CV348" s="262"/>
    </row>
    <row r="349" spans="33:100">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c r="BS349" s="262"/>
      <c r="BT349" s="262"/>
      <c r="BU349" s="262"/>
      <c r="BV349" s="262"/>
      <c r="BW349" s="262"/>
      <c r="BX349" s="262"/>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2"/>
      <c r="CV349" s="262"/>
    </row>
    <row r="350" spans="33:100">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c r="BS350" s="262"/>
      <c r="BT350" s="262"/>
      <c r="BU350" s="262"/>
      <c r="BV350" s="262"/>
      <c r="BW350" s="262"/>
      <c r="BX350" s="262"/>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2"/>
      <c r="CV350" s="262"/>
    </row>
    <row r="351" spans="33:100">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c r="BS351" s="262"/>
      <c r="BT351" s="262"/>
      <c r="BU351" s="262"/>
      <c r="BV351" s="262"/>
      <c r="BW351" s="262"/>
      <c r="BX351" s="262"/>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2"/>
      <c r="CV351" s="262"/>
    </row>
    <row r="352" spans="33:100">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c r="BS352" s="262"/>
      <c r="BT352" s="262"/>
      <c r="BU352" s="262"/>
      <c r="BV352" s="262"/>
      <c r="BW352" s="262"/>
      <c r="BX352" s="262"/>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2"/>
      <c r="CV352" s="262"/>
    </row>
    <row r="353" spans="33:100">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c r="BS353" s="262"/>
      <c r="BT353" s="262"/>
      <c r="BU353" s="262"/>
      <c r="BV353" s="262"/>
      <c r="BW353" s="262"/>
      <c r="BX353" s="262"/>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2"/>
      <c r="CV353" s="262"/>
    </row>
    <row r="354" spans="33:100">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2"/>
      <c r="CV354" s="262"/>
    </row>
    <row r="355" spans="33:100">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c r="BS355" s="262"/>
      <c r="BT355" s="262"/>
      <c r="BU355" s="262"/>
      <c r="BV355" s="262"/>
      <c r="BW355" s="262"/>
      <c r="BX355" s="262"/>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2"/>
      <c r="CV355" s="262"/>
    </row>
    <row r="356" spans="33:100">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c r="BS356" s="262"/>
      <c r="BT356" s="262"/>
      <c r="BU356" s="262"/>
      <c r="BV356" s="262"/>
      <c r="BW356" s="262"/>
      <c r="BX356" s="262"/>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2"/>
      <c r="CV356" s="262"/>
    </row>
    <row r="357" spans="33:100">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c r="BS357" s="262"/>
      <c r="BT357" s="262"/>
      <c r="BU357" s="262"/>
      <c r="BV357" s="262"/>
      <c r="BW357" s="262"/>
      <c r="BX357" s="262"/>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2"/>
      <c r="CV357" s="262"/>
    </row>
    <row r="358" spans="33:100">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c r="BS358" s="262"/>
      <c r="BT358" s="262"/>
      <c r="BU358" s="262"/>
      <c r="BV358" s="262"/>
      <c r="BW358" s="262"/>
      <c r="BX358" s="262"/>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2"/>
      <c r="CV358" s="262"/>
    </row>
    <row r="359" spans="33:100">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2"/>
      <c r="CV359" s="262"/>
    </row>
    <row r="360" spans="33:100">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c r="BS360" s="262"/>
      <c r="BT360" s="262"/>
      <c r="BU360" s="262"/>
      <c r="BV360" s="262"/>
      <c r="BW360" s="262"/>
      <c r="BX360" s="262"/>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2"/>
      <c r="CV360" s="262"/>
    </row>
    <row r="361" spans="33:100">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c r="BS361" s="262"/>
      <c r="BT361" s="262"/>
      <c r="BU361" s="262"/>
      <c r="BV361" s="262"/>
      <c r="BW361" s="262"/>
      <c r="BX361" s="262"/>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2"/>
      <c r="CV361" s="262"/>
    </row>
    <row r="362" spans="33:100">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c r="BS362" s="262"/>
      <c r="BT362" s="262"/>
      <c r="BU362" s="262"/>
      <c r="BV362" s="262"/>
      <c r="BW362" s="262"/>
      <c r="BX362" s="262"/>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2"/>
      <c r="CV362" s="262"/>
    </row>
    <row r="363" spans="33:100">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c r="BS363" s="262"/>
      <c r="BT363" s="262"/>
      <c r="BU363" s="262"/>
      <c r="BV363" s="262"/>
      <c r="BW363" s="262"/>
      <c r="BX363" s="262"/>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2"/>
      <c r="CV363" s="262"/>
    </row>
    <row r="364" spans="33:100">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c r="BS364" s="262"/>
      <c r="BT364" s="262"/>
      <c r="BU364" s="262"/>
      <c r="BV364" s="262"/>
      <c r="BW364" s="262"/>
      <c r="BX364" s="262"/>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2"/>
      <c r="CV364" s="262"/>
    </row>
    <row r="365" spans="33:100">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c r="BS365" s="262"/>
      <c r="BT365" s="262"/>
      <c r="BU365" s="262"/>
      <c r="BV365" s="262"/>
      <c r="BW365" s="262"/>
      <c r="BX365" s="262"/>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2"/>
      <c r="CV365" s="262"/>
    </row>
    <row r="366" spans="33:100">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c r="BS366" s="262"/>
      <c r="BT366" s="262"/>
      <c r="BU366" s="262"/>
      <c r="BV366" s="262"/>
      <c r="BW366" s="262"/>
      <c r="BX366" s="262"/>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2"/>
      <c r="CV366" s="262"/>
    </row>
    <row r="367" spans="33:100">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c r="BS367" s="262"/>
      <c r="BT367" s="262"/>
      <c r="BU367" s="262"/>
      <c r="BV367" s="262"/>
      <c r="BW367" s="262"/>
      <c r="BX367" s="262"/>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2"/>
      <c r="CV367" s="262"/>
    </row>
    <row r="368" spans="33:100">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c r="BS368" s="262"/>
      <c r="BT368" s="262"/>
      <c r="BU368" s="262"/>
      <c r="BV368" s="262"/>
      <c r="BW368" s="262"/>
      <c r="BX368" s="262"/>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2"/>
      <c r="CV368" s="262"/>
    </row>
    <row r="369" spans="33:100">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c r="BS369" s="262"/>
      <c r="BT369" s="262"/>
      <c r="BU369" s="262"/>
      <c r="BV369" s="262"/>
      <c r="BW369" s="262"/>
      <c r="BX369" s="262"/>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2"/>
      <c r="CV369" s="262"/>
    </row>
    <row r="370" spans="33:100">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c r="BS370" s="262"/>
      <c r="BT370" s="262"/>
      <c r="BU370" s="262"/>
      <c r="BV370" s="262"/>
      <c r="BW370" s="262"/>
      <c r="BX370" s="262"/>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2"/>
      <c r="CV370" s="262"/>
    </row>
    <row r="371" spans="33:100">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c r="BS371" s="262"/>
      <c r="BT371" s="262"/>
      <c r="BU371" s="262"/>
      <c r="BV371" s="262"/>
      <c r="BW371" s="262"/>
      <c r="BX371" s="262"/>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2"/>
      <c r="CV371" s="262"/>
    </row>
    <row r="372" spans="33:100">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c r="BS372" s="262"/>
      <c r="BT372" s="262"/>
      <c r="BU372" s="262"/>
      <c r="BV372" s="262"/>
      <c r="BW372" s="262"/>
      <c r="BX372" s="262"/>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2"/>
      <c r="CV372" s="262"/>
    </row>
    <row r="373" spans="33:100">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c r="BS373" s="262"/>
      <c r="BT373" s="262"/>
      <c r="BU373" s="262"/>
      <c r="BV373" s="262"/>
      <c r="BW373" s="262"/>
      <c r="BX373" s="262"/>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2"/>
      <c r="CV373" s="262"/>
    </row>
    <row r="374" spans="33:100">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c r="BS374" s="262"/>
      <c r="BT374" s="262"/>
      <c r="BU374" s="262"/>
      <c r="BV374" s="262"/>
      <c r="BW374" s="262"/>
      <c r="BX374" s="262"/>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2"/>
      <c r="CV374" s="262"/>
    </row>
    <row r="375" spans="33:100">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c r="BS375" s="262"/>
      <c r="BT375" s="262"/>
      <c r="BU375" s="262"/>
      <c r="BV375" s="262"/>
      <c r="BW375" s="262"/>
      <c r="BX375" s="262"/>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2"/>
      <c r="CV375" s="262"/>
    </row>
    <row r="376" spans="33:100">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c r="BS376" s="262"/>
      <c r="BT376" s="262"/>
      <c r="BU376" s="262"/>
      <c r="BV376" s="262"/>
      <c r="BW376" s="262"/>
      <c r="BX376" s="262"/>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2"/>
      <c r="CV376" s="262"/>
    </row>
    <row r="377" spans="33:100">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c r="BS377" s="262"/>
      <c r="BT377" s="262"/>
      <c r="BU377" s="262"/>
      <c r="BV377" s="262"/>
      <c r="BW377" s="262"/>
      <c r="BX377" s="262"/>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2"/>
      <c r="CV377" s="262"/>
    </row>
    <row r="378" spans="33:100">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c r="BS378" s="262"/>
      <c r="BT378" s="262"/>
      <c r="BU378" s="262"/>
      <c r="BV378" s="262"/>
      <c r="BW378" s="262"/>
      <c r="BX378" s="262"/>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2"/>
      <c r="CV378" s="262"/>
    </row>
    <row r="379" spans="33:100">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c r="BS379" s="262"/>
      <c r="BT379" s="262"/>
      <c r="BU379" s="262"/>
      <c r="BV379" s="262"/>
      <c r="BW379" s="262"/>
      <c r="BX379" s="262"/>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2"/>
      <c r="CV379" s="262"/>
    </row>
    <row r="380" spans="33:100">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c r="BS380" s="262"/>
      <c r="BT380" s="262"/>
      <c r="BU380" s="262"/>
      <c r="BV380" s="262"/>
      <c r="BW380" s="262"/>
      <c r="BX380" s="262"/>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2"/>
      <c r="CV380" s="262"/>
    </row>
    <row r="381" spans="33:100">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c r="BS381" s="262"/>
      <c r="BT381" s="262"/>
      <c r="BU381" s="262"/>
      <c r="BV381" s="262"/>
      <c r="BW381" s="262"/>
      <c r="BX381" s="262"/>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2"/>
      <c r="CV381" s="262"/>
    </row>
    <row r="382" spans="33:100">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c r="BS382" s="262"/>
      <c r="BT382" s="262"/>
      <c r="BU382" s="262"/>
      <c r="BV382" s="262"/>
      <c r="BW382" s="262"/>
      <c r="BX382" s="262"/>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2"/>
      <c r="CV382" s="262"/>
    </row>
    <row r="383" spans="33:100">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c r="BS383" s="262"/>
      <c r="BT383" s="262"/>
      <c r="BU383" s="262"/>
      <c r="BV383" s="262"/>
      <c r="BW383" s="262"/>
      <c r="BX383" s="262"/>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2"/>
      <c r="CV383" s="262"/>
    </row>
    <row r="384" spans="33:100">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c r="BS384" s="262"/>
      <c r="BT384" s="262"/>
      <c r="BU384" s="262"/>
      <c r="BV384" s="262"/>
      <c r="BW384" s="262"/>
      <c r="BX384" s="262"/>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2"/>
      <c r="CV384" s="262"/>
    </row>
    <row r="385" spans="33:100">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c r="BS385" s="262"/>
      <c r="BT385" s="262"/>
      <c r="BU385" s="262"/>
      <c r="BV385" s="262"/>
      <c r="BW385" s="262"/>
      <c r="BX385" s="262"/>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2"/>
      <c r="CV385" s="262"/>
    </row>
    <row r="386" spans="33:100">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c r="BS386" s="262"/>
      <c r="BT386" s="262"/>
      <c r="BU386" s="262"/>
      <c r="BV386" s="262"/>
      <c r="BW386" s="262"/>
      <c r="BX386" s="262"/>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2"/>
      <c r="CV386" s="262"/>
    </row>
    <row r="387" spans="33:100">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c r="BS387" s="262"/>
      <c r="BT387" s="262"/>
      <c r="BU387" s="262"/>
      <c r="BV387" s="262"/>
      <c r="BW387" s="262"/>
      <c r="BX387" s="262"/>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2"/>
      <c r="CV387" s="262"/>
    </row>
    <row r="388" spans="33:100">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T388" s="262"/>
      <c r="BU388" s="262"/>
      <c r="BV388" s="262"/>
      <c r="BW388" s="262"/>
      <c r="BX388" s="262"/>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2"/>
      <c r="CV388" s="262"/>
    </row>
    <row r="389" spans="33:100">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T389" s="262"/>
      <c r="BU389" s="262"/>
      <c r="BV389" s="262"/>
      <c r="BW389" s="262"/>
      <c r="BX389" s="262"/>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2"/>
      <c r="CV389" s="262"/>
    </row>
    <row r="390" spans="33:100">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c r="BS390" s="262"/>
      <c r="BT390" s="262"/>
      <c r="BU390" s="262"/>
      <c r="BV390" s="262"/>
      <c r="BW390" s="262"/>
      <c r="BX390" s="262"/>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2"/>
      <c r="CV390" s="262"/>
    </row>
    <row r="391" spans="33:100">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c r="BS391" s="262"/>
      <c r="BT391" s="262"/>
      <c r="BU391" s="262"/>
      <c r="BV391" s="262"/>
      <c r="BW391" s="262"/>
      <c r="BX391" s="262"/>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2"/>
      <c r="CV391" s="262"/>
    </row>
    <row r="392" spans="33:100">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c r="BS392" s="262"/>
      <c r="BT392" s="262"/>
      <c r="BU392" s="262"/>
      <c r="BV392" s="262"/>
      <c r="BW392" s="262"/>
      <c r="BX392" s="262"/>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2"/>
      <c r="CV392" s="262"/>
    </row>
    <row r="393" spans="33:100">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c r="BS393" s="262"/>
      <c r="BT393" s="262"/>
      <c r="BU393" s="262"/>
      <c r="BV393" s="262"/>
      <c r="BW393" s="262"/>
      <c r="BX393" s="262"/>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2"/>
      <c r="CV393" s="262"/>
    </row>
    <row r="394" spans="33:100">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c r="BS394" s="262"/>
      <c r="BT394" s="262"/>
      <c r="BU394" s="262"/>
      <c r="BV394" s="262"/>
      <c r="BW394" s="262"/>
      <c r="BX394" s="262"/>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2"/>
      <c r="CV394" s="262"/>
    </row>
    <row r="395" spans="33:100">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c r="BS395" s="262"/>
      <c r="BT395" s="262"/>
      <c r="BU395" s="262"/>
      <c r="BV395" s="262"/>
      <c r="BW395" s="262"/>
      <c r="BX395" s="262"/>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2"/>
      <c r="CV395" s="262"/>
    </row>
    <row r="396" spans="33:100">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c r="BS396" s="262"/>
      <c r="BT396" s="262"/>
      <c r="BU396" s="262"/>
      <c r="BV396" s="262"/>
      <c r="BW396" s="262"/>
      <c r="BX396" s="262"/>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2"/>
      <c r="CV396" s="262"/>
    </row>
    <row r="397" spans="33:100">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c r="BS397" s="262"/>
      <c r="BT397" s="262"/>
      <c r="BU397" s="262"/>
      <c r="BV397" s="262"/>
      <c r="BW397" s="262"/>
      <c r="BX397" s="262"/>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2"/>
      <c r="CV397" s="262"/>
    </row>
    <row r="398" spans="33:100">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c r="BS398" s="262"/>
      <c r="BT398" s="262"/>
      <c r="BU398" s="262"/>
      <c r="BV398" s="262"/>
      <c r="BW398" s="262"/>
      <c r="BX398" s="262"/>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2"/>
      <c r="CV398" s="262"/>
    </row>
    <row r="399" spans="33:100">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c r="BS399" s="262"/>
      <c r="BT399" s="262"/>
      <c r="BU399" s="262"/>
      <c r="BV399" s="262"/>
      <c r="BW399" s="262"/>
      <c r="BX399" s="262"/>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2"/>
      <c r="CV399" s="262"/>
    </row>
    <row r="400" spans="33:100">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c r="BS400" s="262"/>
      <c r="BT400" s="262"/>
      <c r="BU400" s="262"/>
      <c r="BV400" s="262"/>
      <c r="BW400" s="262"/>
      <c r="BX400" s="262"/>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2"/>
      <c r="CV400" s="262"/>
    </row>
    <row r="401" spans="33:100">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c r="BS401" s="262"/>
      <c r="BT401" s="262"/>
      <c r="BU401" s="262"/>
      <c r="BV401" s="262"/>
      <c r="BW401" s="262"/>
      <c r="BX401" s="262"/>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2"/>
      <c r="CV401" s="262"/>
    </row>
    <row r="402" spans="33:100">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c r="BS402" s="262"/>
      <c r="BT402" s="262"/>
      <c r="BU402" s="262"/>
      <c r="BV402" s="262"/>
      <c r="BW402" s="262"/>
      <c r="BX402" s="262"/>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2"/>
      <c r="CV402" s="262"/>
    </row>
    <row r="403" spans="33:100">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c r="BS403" s="262"/>
      <c r="BT403" s="262"/>
      <c r="BU403" s="262"/>
      <c r="BV403" s="262"/>
      <c r="BW403" s="262"/>
      <c r="BX403" s="262"/>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2"/>
      <c r="CV403" s="262"/>
    </row>
    <row r="404" spans="33:100">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c r="BS404" s="262"/>
      <c r="BT404" s="262"/>
      <c r="BU404" s="262"/>
      <c r="BV404" s="262"/>
      <c r="BW404" s="262"/>
      <c r="BX404" s="262"/>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2"/>
      <c r="CV404" s="262"/>
    </row>
    <row r="405" spans="33:100">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c r="BS405" s="262"/>
      <c r="BT405" s="262"/>
      <c r="BU405" s="262"/>
      <c r="BV405" s="262"/>
      <c r="BW405" s="262"/>
      <c r="BX405" s="262"/>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2"/>
      <c r="CV405" s="262"/>
    </row>
    <row r="406" spans="33:100">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c r="BS406" s="262"/>
      <c r="BT406" s="262"/>
      <c r="BU406" s="262"/>
      <c r="BV406" s="262"/>
      <c r="BW406" s="262"/>
      <c r="BX406" s="262"/>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2"/>
      <c r="CV406" s="262"/>
    </row>
    <row r="407" spans="33:100">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c r="BS407" s="262"/>
      <c r="BT407" s="262"/>
      <c r="BU407" s="262"/>
      <c r="BV407" s="262"/>
      <c r="BW407" s="262"/>
      <c r="BX407" s="262"/>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2"/>
      <c r="CV407" s="262"/>
    </row>
    <row r="408" spans="33:100">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c r="BS408" s="262"/>
      <c r="BT408" s="262"/>
      <c r="BU408" s="262"/>
      <c r="BV408" s="262"/>
      <c r="BW408" s="262"/>
      <c r="BX408" s="262"/>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2"/>
      <c r="CV408" s="262"/>
    </row>
    <row r="409" spans="33:100">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c r="BS409" s="262"/>
      <c r="BT409" s="262"/>
      <c r="BU409" s="262"/>
      <c r="BV409" s="262"/>
      <c r="BW409" s="262"/>
      <c r="BX409" s="262"/>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2"/>
      <c r="CV409" s="262"/>
    </row>
    <row r="410" spans="33:100">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c r="BS410" s="262"/>
      <c r="BT410" s="262"/>
      <c r="BU410" s="262"/>
      <c r="BV410" s="262"/>
      <c r="BW410" s="262"/>
      <c r="BX410" s="262"/>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2"/>
      <c r="CV410" s="262"/>
    </row>
    <row r="411" spans="33:100">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c r="BS411" s="262"/>
      <c r="BT411" s="262"/>
      <c r="BU411" s="262"/>
      <c r="BV411" s="262"/>
      <c r="BW411" s="262"/>
      <c r="BX411" s="262"/>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2"/>
      <c r="CV411" s="262"/>
    </row>
    <row r="412" spans="33:100">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c r="BS412" s="262"/>
      <c r="BT412" s="262"/>
      <c r="BU412" s="262"/>
      <c r="BV412" s="262"/>
      <c r="BW412" s="262"/>
      <c r="BX412" s="262"/>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2"/>
      <c r="CV412" s="262"/>
    </row>
    <row r="413" spans="33:100">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c r="BS413" s="262"/>
      <c r="BT413" s="262"/>
      <c r="BU413" s="262"/>
      <c r="BV413" s="262"/>
      <c r="BW413" s="262"/>
      <c r="BX413" s="262"/>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2"/>
      <c r="CV413" s="262"/>
    </row>
    <row r="414" spans="33:100">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c r="BS414" s="262"/>
      <c r="BT414" s="262"/>
      <c r="BU414" s="262"/>
      <c r="BV414" s="262"/>
      <c r="BW414" s="262"/>
      <c r="BX414" s="262"/>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2"/>
      <c r="CV414" s="262"/>
    </row>
    <row r="415" spans="33:100">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c r="BS415" s="262"/>
      <c r="BT415" s="262"/>
      <c r="BU415" s="262"/>
      <c r="BV415" s="262"/>
      <c r="BW415" s="262"/>
      <c r="BX415" s="262"/>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2"/>
      <c r="CV415" s="262"/>
    </row>
    <row r="416" spans="33:100">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c r="BS416" s="262"/>
      <c r="BT416" s="262"/>
      <c r="BU416" s="262"/>
      <c r="BV416" s="262"/>
      <c r="BW416" s="262"/>
      <c r="BX416" s="262"/>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2"/>
      <c r="CV416" s="262"/>
    </row>
    <row r="417" spans="33:100">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c r="BS417" s="262"/>
      <c r="BT417" s="262"/>
      <c r="BU417" s="262"/>
      <c r="BV417" s="262"/>
      <c r="BW417" s="262"/>
      <c r="BX417" s="262"/>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2"/>
      <c r="CV417" s="262"/>
    </row>
    <row r="418" spans="33:100">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c r="BS418" s="262"/>
      <c r="BT418" s="262"/>
      <c r="BU418" s="262"/>
      <c r="BV418" s="262"/>
      <c r="BW418" s="262"/>
      <c r="BX418" s="262"/>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2"/>
      <c r="CV418" s="262"/>
    </row>
    <row r="419" spans="33:100">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c r="BS419" s="262"/>
      <c r="BT419" s="262"/>
      <c r="BU419" s="262"/>
      <c r="BV419" s="262"/>
      <c r="BW419" s="262"/>
      <c r="BX419" s="262"/>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2"/>
      <c r="CV419" s="262"/>
    </row>
    <row r="420" spans="33:100">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c r="BS420" s="262"/>
      <c r="BT420" s="262"/>
      <c r="BU420" s="262"/>
      <c r="BV420" s="262"/>
      <c r="BW420" s="262"/>
      <c r="BX420" s="262"/>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2"/>
      <c r="CV420" s="262"/>
    </row>
    <row r="421" spans="33:100">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c r="BS421" s="262"/>
      <c r="BT421" s="262"/>
      <c r="BU421" s="262"/>
      <c r="BV421" s="262"/>
      <c r="BW421" s="262"/>
      <c r="BX421" s="262"/>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2"/>
      <c r="CV421" s="262"/>
    </row>
    <row r="422" spans="33:100">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c r="BS422" s="262"/>
      <c r="BT422" s="262"/>
      <c r="BU422" s="262"/>
      <c r="BV422" s="262"/>
      <c r="BW422" s="262"/>
      <c r="BX422" s="262"/>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2"/>
      <c r="CV422" s="262"/>
    </row>
    <row r="423" spans="33:100">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c r="BS423" s="262"/>
      <c r="BT423" s="262"/>
      <c r="BU423" s="262"/>
      <c r="BV423" s="262"/>
      <c r="BW423" s="262"/>
      <c r="BX423" s="262"/>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2"/>
      <c r="CV423" s="262"/>
    </row>
    <row r="424" spans="33:100">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c r="BS424" s="262"/>
      <c r="BT424" s="262"/>
      <c r="BU424" s="262"/>
      <c r="BV424" s="262"/>
      <c r="BW424" s="262"/>
      <c r="BX424" s="262"/>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2"/>
      <c r="CV424" s="262"/>
    </row>
    <row r="425" spans="33:100">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c r="BS425" s="262"/>
      <c r="BT425" s="262"/>
      <c r="BU425" s="262"/>
      <c r="BV425" s="262"/>
      <c r="BW425" s="262"/>
      <c r="BX425" s="262"/>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2"/>
      <c r="CV425" s="262"/>
    </row>
    <row r="426" spans="33:100">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c r="BS426" s="262"/>
      <c r="BT426" s="262"/>
      <c r="BU426" s="262"/>
      <c r="BV426" s="262"/>
      <c r="BW426" s="262"/>
      <c r="BX426" s="262"/>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2"/>
      <c r="CV426" s="262"/>
    </row>
    <row r="427" spans="33:100">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c r="BS427" s="262"/>
      <c r="BT427" s="262"/>
      <c r="BU427" s="262"/>
      <c r="BV427" s="262"/>
      <c r="BW427" s="262"/>
      <c r="BX427" s="262"/>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2"/>
      <c r="CV427" s="262"/>
    </row>
    <row r="428" spans="33:100">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c r="BS428" s="262"/>
      <c r="BT428" s="262"/>
      <c r="BU428" s="262"/>
      <c r="BV428" s="262"/>
      <c r="BW428" s="262"/>
      <c r="BX428" s="262"/>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2"/>
      <c r="CV428" s="262"/>
    </row>
    <row r="429" spans="33:100">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c r="BS429" s="262"/>
      <c r="BT429" s="262"/>
      <c r="BU429" s="262"/>
      <c r="BV429" s="262"/>
      <c r="BW429" s="262"/>
      <c r="BX429" s="262"/>
      <c r="BY429" s="262"/>
      <c r="BZ429" s="262"/>
      <c r="CA429" s="262"/>
      <c r="CB429" s="262"/>
      <c r="CC429" s="262"/>
      <c r="CD429" s="262"/>
      <c r="CE429" s="262"/>
      <c r="CF429" s="262"/>
      <c r="CG429" s="262"/>
      <c r="CH429" s="262"/>
      <c r="CI429" s="262"/>
      <c r="CJ429" s="262"/>
      <c r="CK429" s="262"/>
      <c r="CL429" s="262"/>
      <c r="CM429" s="262"/>
      <c r="CN429" s="262"/>
      <c r="CO429" s="262"/>
      <c r="CP429" s="262"/>
      <c r="CQ429" s="262"/>
      <c r="CR429" s="262"/>
      <c r="CS429" s="262"/>
      <c r="CT429" s="262"/>
      <c r="CU429" s="262"/>
      <c r="CV429" s="262"/>
    </row>
    <row r="430" spans="33:100">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c r="BS430" s="262"/>
      <c r="BT430" s="262"/>
      <c r="BU430" s="262"/>
      <c r="BV430" s="262"/>
      <c r="BW430" s="262"/>
      <c r="BX430" s="262"/>
      <c r="BY430" s="262"/>
      <c r="BZ430" s="262"/>
      <c r="CA430" s="262"/>
      <c r="CB430" s="262"/>
      <c r="CC430" s="262"/>
      <c r="CD430" s="262"/>
      <c r="CE430" s="262"/>
      <c r="CF430" s="262"/>
      <c r="CG430" s="262"/>
      <c r="CH430" s="262"/>
      <c r="CI430" s="262"/>
      <c r="CJ430" s="262"/>
      <c r="CK430" s="262"/>
      <c r="CL430" s="262"/>
      <c r="CM430" s="262"/>
      <c r="CN430" s="262"/>
      <c r="CO430" s="262"/>
      <c r="CP430" s="262"/>
      <c r="CQ430" s="262"/>
      <c r="CR430" s="262"/>
      <c r="CS430" s="262"/>
      <c r="CT430" s="262"/>
      <c r="CU430" s="262"/>
      <c r="CV430" s="262"/>
    </row>
    <row r="431" spans="33:100">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c r="BS431" s="262"/>
      <c r="BT431" s="262"/>
      <c r="BU431" s="262"/>
      <c r="BV431" s="262"/>
      <c r="BW431" s="262"/>
      <c r="BX431" s="262"/>
      <c r="BY431" s="262"/>
      <c r="BZ431" s="262"/>
      <c r="CA431" s="262"/>
      <c r="CB431" s="262"/>
      <c r="CC431" s="262"/>
      <c r="CD431" s="262"/>
      <c r="CE431" s="262"/>
      <c r="CF431" s="262"/>
      <c r="CG431" s="262"/>
      <c r="CH431" s="262"/>
      <c r="CI431" s="262"/>
      <c r="CJ431" s="262"/>
      <c r="CK431" s="262"/>
      <c r="CL431" s="262"/>
      <c r="CM431" s="262"/>
      <c r="CN431" s="262"/>
      <c r="CO431" s="262"/>
      <c r="CP431" s="262"/>
      <c r="CQ431" s="262"/>
      <c r="CR431" s="262"/>
      <c r="CS431" s="262"/>
      <c r="CT431" s="262"/>
      <c r="CU431" s="262"/>
      <c r="CV431" s="262"/>
    </row>
    <row r="432" spans="33:100">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c r="BS432" s="262"/>
      <c r="BT432" s="262"/>
      <c r="BU432" s="262"/>
      <c r="BV432" s="262"/>
      <c r="BW432" s="262"/>
      <c r="BX432" s="262"/>
      <c r="BY432" s="262"/>
      <c r="BZ432" s="262"/>
      <c r="CA432" s="262"/>
      <c r="CB432" s="262"/>
      <c r="CC432" s="262"/>
      <c r="CD432" s="262"/>
      <c r="CE432" s="262"/>
      <c r="CF432" s="262"/>
      <c r="CG432" s="262"/>
      <c r="CH432" s="262"/>
      <c r="CI432" s="262"/>
      <c r="CJ432" s="262"/>
      <c r="CK432" s="262"/>
      <c r="CL432" s="262"/>
      <c r="CM432" s="262"/>
      <c r="CN432" s="262"/>
      <c r="CO432" s="262"/>
      <c r="CP432" s="262"/>
      <c r="CQ432" s="262"/>
      <c r="CR432" s="262"/>
      <c r="CS432" s="262"/>
      <c r="CT432" s="262"/>
      <c r="CU432" s="262"/>
      <c r="CV432" s="262"/>
    </row>
    <row r="433" spans="33:100">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c r="BS433" s="262"/>
      <c r="BT433" s="262"/>
      <c r="BU433" s="262"/>
      <c r="BV433" s="262"/>
      <c r="BW433" s="262"/>
      <c r="BX433" s="262"/>
      <c r="BY433" s="262"/>
      <c r="BZ433" s="262"/>
      <c r="CA433" s="262"/>
      <c r="CB433" s="262"/>
      <c r="CC433" s="262"/>
      <c r="CD433" s="262"/>
      <c r="CE433" s="262"/>
      <c r="CF433" s="262"/>
      <c r="CG433" s="262"/>
      <c r="CH433" s="262"/>
      <c r="CI433" s="262"/>
      <c r="CJ433" s="262"/>
      <c r="CK433" s="262"/>
      <c r="CL433" s="262"/>
      <c r="CM433" s="262"/>
      <c r="CN433" s="262"/>
      <c r="CO433" s="262"/>
      <c r="CP433" s="262"/>
      <c r="CQ433" s="262"/>
      <c r="CR433" s="262"/>
      <c r="CS433" s="262"/>
      <c r="CT433" s="262"/>
      <c r="CU433" s="262"/>
      <c r="CV433" s="262"/>
    </row>
    <row r="434" spans="33:100">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c r="BS434" s="262"/>
      <c r="BT434" s="262"/>
      <c r="BU434" s="262"/>
      <c r="BV434" s="262"/>
      <c r="BW434" s="262"/>
      <c r="BX434" s="262"/>
      <c r="BY434" s="262"/>
      <c r="BZ434" s="262"/>
      <c r="CA434" s="262"/>
      <c r="CB434" s="262"/>
      <c r="CC434" s="262"/>
      <c r="CD434" s="262"/>
      <c r="CE434" s="262"/>
      <c r="CF434" s="262"/>
      <c r="CG434" s="262"/>
      <c r="CH434" s="262"/>
      <c r="CI434" s="262"/>
      <c r="CJ434" s="262"/>
      <c r="CK434" s="262"/>
      <c r="CL434" s="262"/>
      <c r="CM434" s="262"/>
      <c r="CN434" s="262"/>
      <c r="CO434" s="262"/>
      <c r="CP434" s="262"/>
      <c r="CQ434" s="262"/>
      <c r="CR434" s="262"/>
      <c r="CS434" s="262"/>
      <c r="CT434" s="262"/>
      <c r="CU434" s="262"/>
      <c r="CV434" s="262"/>
    </row>
    <row r="435" spans="33:100">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c r="BS435" s="262"/>
      <c r="BT435" s="262"/>
      <c r="BU435" s="262"/>
      <c r="BV435" s="262"/>
      <c r="BW435" s="262"/>
      <c r="BX435" s="262"/>
      <c r="BY435" s="262"/>
      <c r="BZ435" s="262"/>
      <c r="CA435" s="262"/>
      <c r="CB435" s="262"/>
      <c r="CC435" s="262"/>
      <c r="CD435" s="262"/>
      <c r="CE435" s="262"/>
      <c r="CF435" s="262"/>
      <c r="CG435" s="262"/>
      <c r="CH435" s="262"/>
      <c r="CI435" s="262"/>
      <c r="CJ435" s="262"/>
      <c r="CK435" s="262"/>
      <c r="CL435" s="262"/>
      <c r="CM435" s="262"/>
      <c r="CN435" s="262"/>
      <c r="CO435" s="262"/>
      <c r="CP435" s="262"/>
      <c r="CQ435" s="262"/>
      <c r="CR435" s="262"/>
      <c r="CS435" s="262"/>
      <c r="CT435" s="262"/>
      <c r="CU435" s="262"/>
      <c r="CV435" s="262"/>
    </row>
    <row r="436" spans="33:100">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c r="BS436" s="262"/>
      <c r="BT436" s="262"/>
      <c r="BU436" s="262"/>
      <c r="BV436" s="262"/>
      <c r="BW436" s="262"/>
      <c r="BX436" s="262"/>
      <c r="BY436" s="262"/>
      <c r="BZ436" s="262"/>
      <c r="CA436" s="262"/>
      <c r="CB436" s="262"/>
      <c r="CC436" s="262"/>
      <c r="CD436" s="262"/>
      <c r="CE436" s="262"/>
      <c r="CF436" s="262"/>
      <c r="CG436" s="262"/>
      <c r="CH436" s="262"/>
      <c r="CI436" s="262"/>
      <c r="CJ436" s="262"/>
      <c r="CK436" s="262"/>
      <c r="CL436" s="262"/>
      <c r="CM436" s="262"/>
      <c r="CN436" s="262"/>
      <c r="CO436" s="262"/>
      <c r="CP436" s="262"/>
      <c r="CQ436" s="262"/>
      <c r="CR436" s="262"/>
      <c r="CS436" s="262"/>
      <c r="CT436" s="262"/>
      <c r="CU436" s="262"/>
      <c r="CV436" s="262"/>
    </row>
    <row r="437" spans="33:100">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c r="BS437" s="262"/>
      <c r="BT437" s="262"/>
      <c r="BU437" s="262"/>
      <c r="BV437" s="262"/>
      <c r="BW437" s="262"/>
      <c r="BX437" s="262"/>
      <c r="BY437" s="262"/>
      <c r="BZ437" s="262"/>
      <c r="CA437" s="262"/>
      <c r="CB437" s="262"/>
      <c r="CC437" s="262"/>
      <c r="CD437" s="262"/>
      <c r="CE437" s="262"/>
      <c r="CF437" s="262"/>
      <c r="CG437" s="262"/>
      <c r="CH437" s="262"/>
      <c r="CI437" s="262"/>
      <c r="CJ437" s="262"/>
      <c r="CK437" s="262"/>
      <c r="CL437" s="262"/>
      <c r="CM437" s="262"/>
      <c r="CN437" s="262"/>
      <c r="CO437" s="262"/>
      <c r="CP437" s="262"/>
      <c r="CQ437" s="262"/>
      <c r="CR437" s="262"/>
      <c r="CS437" s="262"/>
      <c r="CT437" s="262"/>
      <c r="CU437" s="262"/>
      <c r="CV437" s="262"/>
    </row>
    <row r="438" spans="33:100">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c r="BS438" s="262"/>
      <c r="BT438" s="262"/>
      <c r="BU438" s="262"/>
      <c r="BV438" s="262"/>
      <c r="BW438" s="262"/>
      <c r="BX438" s="262"/>
      <c r="BY438" s="262"/>
      <c r="BZ438" s="262"/>
      <c r="CA438" s="262"/>
      <c r="CB438" s="262"/>
      <c r="CC438" s="262"/>
      <c r="CD438" s="262"/>
      <c r="CE438" s="262"/>
      <c r="CF438" s="262"/>
      <c r="CG438" s="262"/>
      <c r="CH438" s="262"/>
      <c r="CI438" s="262"/>
      <c r="CJ438" s="262"/>
      <c r="CK438" s="262"/>
      <c r="CL438" s="262"/>
      <c r="CM438" s="262"/>
      <c r="CN438" s="262"/>
      <c r="CO438" s="262"/>
      <c r="CP438" s="262"/>
      <c r="CQ438" s="262"/>
      <c r="CR438" s="262"/>
      <c r="CS438" s="262"/>
      <c r="CT438" s="262"/>
      <c r="CU438" s="262"/>
      <c r="CV438" s="262"/>
    </row>
    <row r="439" spans="33:100">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c r="BS439" s="262"/>
      <c r="BT439" s="262"/>
      <c r="BU439" s="262"/>
      <c r="BV439" s="262"/>
      <c r="BW439" s="262"/>
      <c r="BX439" s="262"/>
      <c r="BY439" s="262"/>
      <c r="BZ439" s="262"/>
      <c r="CA439" s="262"/>
      <c r="CB439" s="262"/>
      <c r="CC439" s="262"/>
      <c r="CD439" s="262"/>
      <c r="CE439" s="262"/>
      <c r="CF439" s="262"/>
      <c r="CG439" s="262"/>
      <c r="CH439" s="262"/>
      <c r="CI439" s="262"/>
      <c r="CJ439" s="262"/>
      <c r="CK439" s="262"/>
      <c r="CL439" s="262"/>
      <c r="CM439" s="262"/>
      <c r="CN439" s="262"/>
      <c r="CO439" s="262"/>
      <c r="CP439" s="262"/>
      <c r="CQ439" s="262"/>
      <c r="CR439" s="262"/>
      <c r="CS439" s="262"/>
      <c r="CT439" s="262"/>
      <c r="CU439" s="262"/>
      <c r="CV439" s="262"/>
    </row>
    <row r="440" spans="33:100">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c r="BS440" s="262"/>
      <c r="BT440" s="262"/>
      <c r="BU440" s="262"/>
      <c r="BV440" s="262"/>
      <c r="BW440" s="262"/>
      <c r="BX440" s="262"/>
      <c r="BY440" s="262"/>
      <c r="BZ440" s="262"/>
      <c r="CA440" s="262"/>
      <c r="CB440" s="262"/>
      <c r="CC440" s="262"/>
      <c r="CD440" s="262"/>
      <c r="CE440" s="262"/>
      <c r="CF440" s="262"/>
      <c r="CG440" s="262"/>
      <c r="CH440" s="262"/>
      <c r="CI440" s="262"/>
      <c r="CJ440" s="262"/>
      <c r="CK440" s="262"/>
      <c r="CL440" s="262"/>
      <c r="CM440" s="262"/>
      <c r="CN440" s="262"/>
      <c r="CO440" s="262"/>
      <c r="CP440" s="262"/>
      <c r="CQ440" s="262"/>
      <c r="CR440" s="262"/>
      <c r="CS440" s="262"/>
      <c r="CT440" s="262"/>
      <c r="CU440" s="262"/>
      <c r="CV440" s="262"/>
    </row>
    <row r="441" spans="33:100">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c r="BS441" s="262"/>
      <c r="BT441" s="262"/>
      <c r="BU441" s="262"/>
      <c r="BV441" s="262"/>
      <c r="BW441" s="262"/>
      <c r="BX441" s="262"/>
      <c r="BY441" s="262"/>
      <c r="BZ441" s="262"/>
      <c r="CA441" s="262"/>
      <c r="CB441" s="262"/>
      <c r="CC441" s="262"/>
      <c r="CD441" s="262"/>
      <c r="CE441" s="262"/>
      <c r="CF441" s="262"/>
      <c r="CG441" s="262"/>
      <c r="CH441" s="262"/>
      <c r="CI441" s="262"/>
      <c r="CJ441" s="262"/>
      <c r="CK441" s="262"/>
      <c r="CL441" s="262"/>
      <c r="CM441" s="262"/>
      <c r="CN441" s="262"/>
      <c r="CO441" s="262"/>
      <c r="CP441" s="262"/>
      <c r="CQ441" s="262"/>
      <c r="CR441" s="262"/>
      <c r="CS441" s="262"/>
      <c r="CT441" s="262"/>
      <c r="CU441" s="262"/>
      <c r="CV441" s="262"/>
    </row>
    <row r="442" spans="33:100">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c r="BS442" s="262"/>
      <c r="BT442" s="262"/>
      <c r="BU442" s="262"/>
      <c r="BV442" s="262"/>
      <c r="BW442" s="262"/>
      <c r="BX442" s="262"/>
      <c r="BY442" s="262"/>
      <c r="BZ442" s="262"/>
      <c r="CA442" s="262"/>
      <c r="CB442" s="262"/>
      <c r="CC442" s="262"/>
      <c r="CD442" s="262"/>
      <c r="CE442" s="262"/>
      <c r="CF442" s="262"/>
      <c r="CG442" s="262"/>
      <c r="CH442" s="262"/>
      <c r="CI442" s="262"/>
      <c r="CJ442" s="262"/>
      <c r="CK442" s="262"/>
      <c r="CL442" s="262"/>
      <c r="CM442" s="262"/>
      <c r="CN442" s="262"/>
      <c r="CO442" s="262"/>
      <c r="CP442" s="262"/>
      <c r="CQ442" s="262"/>
      <c r="CR442" s="262"/>
      <c r="CS442" s="262"/>
      <c r="CT442" s="262"/>
      <c r="CU442" s="262"/>
      <c r="CV442" s="262"/>
    </row>
    <row r="443" spans="33:100">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c r="BS443" s="262"/>
      <c r="BT443" s="262"/>
      <c r="BU443" s="262"/>
      <c r="BV443" s="262"/>
      <c r="BW443" s="262"/>
      <c r="BX443" s="262"/>
      <c r="BY443" s="262"/>
      <c r="BZ443" s="262"/>
      <c r="CA443" s="262"/>
      <c r="CB443" s="262"/>
      <c r="CC443" s="262"/>
      <c r="CD443" s="262"/>
      <c r="CE443" s="262"/>
      <c r="CF443" s="262"/>
      <c r="CG443" s="262"/>
      <c r="CH443" s="262"/>
      <c r="CI443" s="262"/>
      <c r="CJ443" s="262"/>
      <c r="CK443" s="262"/>
      <c r="CL443" s="262"/>
      <c r="CM443" s="262"/>
      <c r="CN443" s="262"/>
      <c r="CO443" s="262"/>
      <c r="CP443" s="262"/>
      <c r="CQ443" s="262"/>
      <c r="CR443" s="262"/>
      <c r="CS443" s="262"/>
      <c r="CT443" s="262"/>
      <c r="CU443" s="262"/>
      <c r="CV443" s="262"/>
    </row>
    <row r="444" spans="33:100">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c r="BS444" s="262"/>
      <c r="BT444" s="262"/>
      <c r="BU444" s="262"/>
      <c r="BV444" s="262"/>
      <c r="BW444" s="262"/>
      <c r="BX444" s="262"/>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c r="CU444" s="262"/>
      <c r="CV444" s="262"/>
    </row>
    <row r="445" spans="33:100">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c r="BS445" s="262"/>
      <c r="BT445" s="262"/>
      <c r="BU445" s="262"/>
      <c r="BV445" s="262"/>
      <c r="BW445" s="262"/>
      <c r="BX445" s="262"/>
      <c r="BY445" s="262"/>
      <c r="BZ445" s="262"/>
      <c r="CA445" s="262"/>
      <c r="CB445" s="262"/>
      <c r="CC445" s="262"/>
      <c r="CD445" s="262"/>
      <c r="CE445" s="262"/>
      <c r="CF445" s="262"/>
      <c r="CG445" s="262"/>
      <c r="CH445" s="262"/>
      <c r="CI445" s="262"/>
      <c r="CJ445" s="262"/>
      <c r="CK445" s="262"/>
      <c r="CL445" s="262"/>
      <c r="CM445" s="262"/>
      <c r="CN445" s="262"/>
      <c r="CO445" s="262"/>
      <c r="CP445" s="262"/>
      <c r="CQ445" s="262"/>
      <c r="CR445" s="262"/>
      <c r="CS445" s="262"/>
      <c r="CT445" s="262"/>
      <c r="CU445" s="262"/>
      <c r="CV445" s="262"/>
    </row>
    <row r="446" spans="33:100">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c r="BS446" s="262"/>
      <c r="BT446" s="262"/>
      <c r="BU446" s="262"/>
      <c r="BV446" s="262"/>
      <c r="BW446" s="262"/>
      <c r="BX446" s="262"/>
      <c r="BY446" s="262"/>
      <c r="BZ446" s="262"/>
      <c r="CA446" s="262"/>
      <c r="CB446" s="262"/>
      <c r="CC446" s="262"/>
      <c r="CD446" s="262"/>
      <c r="CE446" s="262"/>
      <c r="CF446" s="262"/>
      <c r="CG446" s="262"/>
      <c r="CH446" s="262"/>
      <c r="CI446" s="262"/>
      <c r="CJ446" s="262"/>
      <c r="CK446" s="262"/>
      <c r="CL446" s="262"/>
      <c r="CM446" s="262"/>
      <c r="CN446" s="262"/>
      <c r="CO446" s="262"/>
      <c r="CP446" s="262"/>
      <c r="CQ446" s="262"/>
      <c r="CR446" s="262"/>
      <c r="CS446" s="262"/>
      <c r="CT446" s="262"/>
      <c r="CU446" s="262"/>
      <c r="CV446" s="262"/>
    </row>
    <row r="447" spans="33:100">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c r="BS447" s="262"/>
      <c r="BT447" s="262"/>
      <c r="BU447" s="262"/>
      <c r="BV447" s="262"/>
      <c r="BW447" s="262"/>
      <c r="BX447" s="262"/>
      <c r="BY447" s="262"/>
      <c r="BZ447" s="262"/>
      <c r="CA447" s="262"/>
      <c r="CB447" s="262"/>
      <c r="CC447" s="262"/>
      <c r="CD447" s="262"/>
      <c r="CE447" s="262"/>
      <c r="CF447" s="262"/>
      <c r="CG447" s="262"/>
      <c r="CH447" s="262"/>
      <c r="CI447" s="262"/>
      <c r="CJ447" s="262"/>
      <c r="CK447" s="262"/>
      <c r="CL447" s="262"/>
      <c r="CM447" s="262"/>
      <c r="CN447" s="262"/>
      <c r="CO447" s="262"/>
      <c r="CP447" s="262"/>
      <c r="CQ447" s="262"/>
      <c r="CR447" s="262"/>
      <c r="CS447" s="262"/>
      <c r="CT447" s="262"/>
      <c r="CU447" s="262"/>
      <c r="CV447" s="262"/>
    </row>
    <row r="448" spans="33:100">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c r="BS448" s="262"/>
      <c r="BT448" s="262"/>
      <c r="BU448" s="262"/>
      <c r="BV448" s="262"/>
      <c r="BW448" s="262"/>
      <c r="BX448" s="262"/>
      <c r="BY448" s="262"/>
      <c r="BZ448" s="262"/>
      <c r="CA448" s="262"/>
      <c r="CB448" s="262"/>
      <c r="CC448" s="262"/>
      <c r="CD448" s="262"/>
      <c r="CE448" s="262"/>
      <c r="CF448" s="262"/>
      <c r="CG448" s="262"/>
      <c r="CH448" s="262"/>
      <c r="CI448" s="262"/>
      <c r="CJ448" s="262"/>
      <c r="CK448" s="262"/>
      <c r="CL448" s="262"/>
      <c r="CM448" s="262"/>
      <c r="CN448" s="262"/>
      <c r="CO448" s="262"/>
      <c r="CP448" s="262"/>
      <c r="CQ448" s="262"/>
      <c r="CR448" s="262"/>
      <c r="CS448" s="262"/>
      <c r="CT448" s="262"/>
      <c r="CU448" s="262"/>
      <c r="CV448" s="262"/>
    </row>
    <row r="449" spans="33:100">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c r="BS449" s="262"/>
      <c r="BT449" s="262"/>
      <c r="BU449" s="262"/>
      <c r="BV449" s="262"/>
      <c r="BW449" s="262"/>
      <c r="BX449" s="262"/>
      <c r="BY449" s="262"/>
      <c r="BZ449" s="262"/>
      <c r="CA449" s="262"/>
      <c r="CB449" s="262"/>
      <c r="CC449" s="262"/>
      <c r="CD449" s="262"/>
      <c r="CE449" s="262"/>
      <c r="CF449" s="262"/>
      <c r="CG449" s="262"/>
      <c r="CH449" s="262"/>
      <c r="CI449" s="262"/>
      <c r="CJ449" s="262"/>
      <c r="CK449" s="262"/>
      <c r="CL449" s="262"/>
      <c r="CM449" s="262"/>
      <c r="CN449" s="262"/>
      <c r="CO449" s="262"/>
      <c r="CP449" s="262"/>
      <c r="CQ449" s="262"/>
      <c r="CR449" s="262"/>
      <c r="CS449" s="262"/>
      <c r="CT449" s="262"/>
      <c r="CU449" s="262"/>
      <c r="CV449" s="262"/>
    </row>
    <row r="450" spans="33:100">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c r="BS450" s="262"/>
      <c r="BT450" s="262"/>
      <c r="BU450" s="262"/>
      <c r="BV450" s="262"/>
      <c r="BW450" s="262"/>
      <c r="BX450" s="262"/>
      <c r="BY450" s="262"/>
      <c r="BZ450" s="262"/>
      <c r="CA450" s="262"/>
      <c r="CB450" s="262"/>
      <c r="CC450" s="262"/>
      <c r="CD450" s="262"/>
      <c r="CE450" s="262"/>
      <c r="CF450" s="262"/>
      <c r="CG450" s="262"/>
      <c r="CH450" s="262"/>
      <c r="CI450" s="262"/>
      <c r="CJ450" s="262"/>
      <c r="CK450" s="262"/>
      <c r="CL450" s="262"/>
      <c r="CM450" s="262"/>
      <c r="CN450" s="262"/>
      <c r="CO450" s="262"/>
      <c r="CP450" s="262"/>
      <c r="CQ450" s="262"/>
      <c r="CR450" s="262"/>
      <c r="CS450" s="262"/>
      <c r="CT450" s="262"/>
      <c r="CU450" s="262"/>
      <c r="CV450" s="262"/>
    </row>
    <row r="451" spans="33:100">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c r="BS451" s="262"/>
      <c r="BT451" s="262"/>
      <c r="BU451" s="262"/>
      <c r="BV451" s="262"/>
      <c r="BW451" s="262"/>
      <c r="BX451" s="262"/>
      <c r="BY451" s="262"/>
      <c r="BZ451" s="262"/>
      <c r="CA451" s="262"/>
      <c r="CB451" s="262"/>
      <c r="CC451" s="262"/>
      <c r="CD451" s="262"/>
      <c r="CE451" s="262"/>
      <c r="CF451" s="262"/>
      <c r="CG451" s="262"/>
      <c r="CH451" s="262"/>
      <c r="CI451" s="262"/>
      <c r="CJ451" s="262"/>
      <c r="CK451" s="262"/>
      <c r="CL451" s="262"/>
      <c r="CM451" s="262"/>
      <c r="CN451" s="262"/>
      <c r="CO451" s="262"/>
      <c r="CP451" s="262"/>
      <c r="CQ451" s="262"/>
      <c r="CR451" s="262"/>
      <c r="CS451" s="262"/>
      <c r="CT451" s="262"/>
      <c r="CU451" s="262"/>
      <c r="CV451" s="262"/>
    </row>
    <row r="452" spans="33:100">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c r="BS452" s="262"/>
      <c r="BT452" s="262"/>
      <c r="BU452" s="262"/>
      <c r="BV452" s="262"/>
      <c r="BW452" s="262"/>
      <c r="BX452" s="262"/>
      <c r="BY452" s="262"/>
      <c r="BZ452" s="262"/>
      <c r="CA452" s="262"/>
      <c r="CB452" s="262"/>
      <c r="CC452" s="262"/>
      <c r="CD452" s="262"/>
      <c r="CE452" s="262"/>
      <c r="CF452" s="262"/>
      <c r="CG452" s="262"/>
      <c r="CH452" s="262"/>
      <c r="CI452" s="262"/>
      <c r="CJ452" s="262"/>
      <c r="CK452" s="262"/>
      <c r="CL452" s="262"/>
      <c r="CM452" s="262"/>
      <c r="CN452" s="262"/>
      <c r="CO452" s="262"/>
      <c r="CP452" s="262"/>
      <c r="CQ452" s="262"/>
      <c r="CR452" s="262"/>
      <c r="CS452" s="262"/>
      <c r="CT452" s="262"/>
      <c r="CU452" s="262"/>
      <c r="CV452" s="262"/>
    </row>
    <row r="453" spans="33:100">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c r="BS453" s="262"/>
      <c r="BT453" s="262"/>
      <c r="BU453" s="262"/>
      <c r="BV453" s="262"/>
      <c r="BW453" s="262"/>
      <c r="BX453" s="262"/>
      <c r="BY453" s="262"/>
      <c r="BZ453" s="262"/>
      <c r="CA453" s="262"/>
      <c r="CB453" s="262"/>
      <c r="CC453" s="262"/>
      <c r="CD453" s="262"/>
      <c r="CE453" s="262"/>
      <c r="CF453" s="262"/>
      <c r="CG453" s="262"/>
      <c r="CH453" s="262"/>
      <c r="CI453" s="262"/>
      <c r="CJ453" s="262"/>
      <c r="CK453" s="262"/>
      <c r="CL453" s="262"/>
      <c r="CM453" s="262"/>
      <c r="CN453" s="262"/>
      <c r="CO453" s="262"/>
      <c r="CP453" s="262"/>
      <c r="CQ453" s="262"/>
      <c r="CR453" s="262"/>
      <c r="CS453" s="262"/>
      <c r="CT453" s="262"/>
      <c r="CU453" s="262"/>
      <c r="CV453" s="262"/>
    </row>
    <row r="454" spans="33:100">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c r="BS454" s="262"/>
      <c r="BT454" s="262"/>
      <c r="BU454" s="262"/>
      <c r="BV454" s="262"/>
      <c r="BW454" s="262"/>
      <c r="BX454" s="262"/>
      <c r="BY454" s="262"/>
      <c r="BZ454" s="262"/>
      <c r="CA454" s="262"/>
      <c r="CB454" s="262"/>
      <c r="CC454" s="262"/>
      <c r="CD454" s="262"/>
      <c r="CE454" s="262"/>
      <c r="CF454" s="262"/>
      <c r="CG454" s="262"/>
      <c r="CH454" s="262"/>
      <c r="CI454" s="262"/>
      <c r="CJ454" s="262"/>
      <c r="CK454" s="262"/>
      <c r="CL454" s="262"/>
      <c r="CM454" s="262"/>
      <c r="CN454" s="262"/>
      <c r="CO454" s="262"/>
      <c r="CP454" s="262"/>
      <c r="CQ454" s="262"/>
      <c r="CR454" s="262"/>
      <c r="CS454" s="262"/>
      <c r="CT454" s="262"/>
      <c r="CU454" s="262"/>
      <c r="CV454" s="262"/>
    </row>
    <row r="455" spans="33:100">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c r="BS455" s="262"/>
      <c r="BT455" s="262"/>
      <c r="BU455" s="262"/>
      <c r="BV455" s="262"/>
      <c r="BW455" s="262"/>
      <c r="BX455" s="262"/>
      <c r="BY455" s="262"/>
      <c r="BZ455" s="262"/>
      <c r="CA455" s="262"/>
      <c r="CB455" s="262"/>
      <c r="CC455" s="262"/>
      <c r="CD455" s="262"/>
      <c r="CE455" s="262"/>
      <c r="CF455" s="262"/>
      <c r="CG455" s="262"/>
      <c r="CH455" s="262"/>
      <c r="CI455" s="262"/>
      <c r="CJ455" s="262"/>
      <c r="CK455" s="262"/>
      <c r="CL455" s="262"/>
      <c r="CM455" s="262"/>
      <c r="CN455" s="262"/>
      <c r="CO455" s="262"/>
      <c r="CP455" s="262"/>
      <c r="CQ455" s="262"/>
      <c r="CR455" s="262"/>
      <c r="CS455" s="262"/>
      <c r="CT455" s="262"/>
      <c r="CU455" s="262"/>
      <c r="CV455" s="262"/>
    </row>
    <row r="456" spans="33:100">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c r="BS456" s="262"/>
      <c r="BT456" s="262"/>
      <c r="BU456" s="262"/>
      <c r="BV456" s="262"/>
      <c r="BW456" s="262"/>
      <c r="BX456" s="262"/>
      <c r="BY456" s="262"/>
      <c r="BZ456" s="262"/>
      <c r="CA456" s="262"/>
      <c r="CB456" s="262"/>
      <c r="CC456" s="262"/>
      <c r="CD456" s="262"/>
      <c r="CE456" s="262"/>
      <c r="CF456" s="262"/>
      <c r="CG456" s="262"/>
      <c r="CH456" s="262"/>
      <c r="CI456" s="262"/>
      <c r="CJ456" s="262"/>
      <c r="CK456" s="262"/>
      <c r="CL456" s="262"/>
      <c r="CM456" s="262"/>
      <c r="CN456" s="262"/>
      <c r="CO456" s="262"/>
      <c r="CP456" s="262"/>
      <c r="CQ456" s="262"/>
      <c r="CR456" s="262"/>
      <c r="CS456" s="262"/>
      <c r="CT456" s="262"/>
      <c r="CU456" s="262"/>
      <c r="CV456" s="262"/>
    </row>
    <row r="457" spans="33:100">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c r="BS457" s="262"/>
      <c r="BT457" s="262"/>
      <c r="BU457" s="262"/>
      <c r="BV457" s="262"/>
      <c r="BW457" s="262"/>
      <c r="BX457" s="262"/>
      <c r="BY457" s="262"/>
      <c r="BZ457" s="262"/>
      <c r="CA457" s="262"/>
      <c r="CB457" s="262"/>
      <c r="CC457" s="262"/>
      <c r="CD457" s="262"/>
      <c r="CE457" s="262"/>
      <c r="CF457" s="262"/>
      <c r="CG457" s="262"/>
      <c r="CH457" s="262"/>
      <c r="CI457" s="262"/>
      <c r="CJ457" s="262"/>
      <c r="CK457" s="262"/>
      <c r="CL457" s="262"/>
      <c r="CM457" s="262"/>
      <c r="CN457" s="262"/>
      <c r="CO457" s="262"/>
      <c r="CP457" s="262"/>
      <c r="CQ457" s="262"/>
      <c r="CR457" s="262"/>
      <c r="CS457" s="262"/>
      <c r="CT457" s="262"/>
      <c r="CU457" s="262"/>
      <c r="CV457" s="262"/>
    </row>
    <row r="458" spans="33:100">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c r="BS458" s="262"/>
      <c r="BT458" s="262"/>
      <c r="BU458" s="262"/>
      <c r="BV458" s="262"/>
      <c r="BW458" s="262"/>
      <c r="BX458" s="262"/>
      <c r="BY458" s="262"/>
      <c r="BZ458" s="262"/>
      <c r="CA458" s="262"/>
      <c r="CB458" s="262"/>
      <c r="CC458" s="262"/>
      <c r="CD458" s="262"/>
      <c r="CE458" s="262"/>
      <c r="CF458" s="262"/>
      <c r="CG458" s="262"/>
      <c r="CH458" s="262"/>
      <c r="CI458" s="262"/>
      <c r="CJ458" s="262"/>
      <c r="CK458" s="262"/>
      <c r="CL458" s="262"/>
      <c r="CM458" s="262"/>
      <c r="CN458" s="262"/>
      <c r="CO458" s="262"/>
      <c r="CP458" s="262"/>
      <c r="CQ458" s="262"/>
      <c r="CR458" s="262"/>
      <c r="CS458" s="262"/>
      <c r="CT458" s="262"/>
      <c r="CU458" s="262"/>
      <c r="CV458" s="262"/>
    </row>
    <row r="459" spans="33:100">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c r="BS459" s="262"/>
      <c r="BT459" s="262"/>
      <c r="BU459" s="262"/>
      <c r="BV459" s="262"/>
      <c r="BW459" s="262"/>
      <c r="BX459" s="262"/>
      <c r="BY459" s="262"/>
      <c r="BZ459" s="262"/>
      <c r="CA459" s="262"/>
      <c r="CB459" s="262"/>
      <c r="CC459" s="262"/>
      <c r="CD459" s="262"/>
      <c r="CE459" s="262"/>
      <c r="CF459" s="262"/>
      <c r="CG459" s="262"/>
      <c r="CH459" s="262"/>
      <c r="CI459" s="262"/>
      <c r="CJ459" s="262"/>
      <c r="CK459" s="262"/>
      <c r="CL459" s="262"/>
      <c r="CM459" s="262"/>
      <c r="CN459" s="262"/>
      <c r="CO459" s="262"/>
      <c r="CP459" s="262"/>
      <c r="CQ459" s="262"/>
      <c r="CR459" s="262"/>
      <c r="CS459" s="262"/>
      <c r="CT459" s="262"/>
      <c r="CU459" s="262"/>
      <c r="CV459" s="262"/>
    </row>
    <row r="460" spans="33:100">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c r="BS460" s="262"/>
      <c r="BT460" s="262"/>
      <c r="BU460" s="262"/>
      <c r="BV460" s="262"/>
      <c r="BW460" s="262"/>
      <c r="BX460" s="262"/>
      <c r="BY460" s="262"/>
      <c r="BZ460" s="262"/>
      <c r="CA460" s="262"/>
      <c r="CB460" s="262"/>
      <c r="CC460" s="262"/>
      <c r="CD460" s="262"/>
      <c r="CE460" s="262"/>
      <c r="CF460" s="262"/>
      <c r="CG460" s="262"/>
      <c r="CH460" s="262"/>
      <c r="CI460" s="262"/>
      <c r="CJ460" s="262"/>
      <c r="CK460" s="262"/>
      <c r="CL460" s="262"/>
      <c r="CM460" s="262"/>
      <c r="CN460" s="262"/>
      <c r="CO460" s="262"/>
      <c r="CP460" s="262"/>
      <c r="CQ460" s="262"/>
      <c r="CR460" s="262"/>
      <c r="CS460" s="262"/>
      <c r="CT460" s="262"/>
      <c r="CU460" s="262"/>
      <c r="CV460" s="262"/>
    </row>
    <row r="461" spans="33:100">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c r="BS461" s="262"/>
      <c r="BT461" s="262"/>
      <c r="BU461" s="262"/>
      <c r="BV461" s="262"/>
      <c r="BW461" s="262"/>
      <c r="BX461" s="262"/>
      <c r="BY461" s="262"/>
      <c r="BZ461" s="262"/>
      <c r="CA461" s="262"/>
      <c r="CB461" s="262"/>
      <c r="CC461" s="262"/>
      <c r="CD461" s="262"/>
      <c r="CE461" s="262"/>
      <c r="CF461" s="262"/>
      <c r="CG461" s="262"/>
      <c r="CH461" s="262"/>
      <c r="CI461" s="262"/>
      <c r="CJ461" s="262"/>
      <c r="CK461" s="262"/>
      <c r="CL461" s="262"/>
      <c r="CM461" s="262"/>
      <c r="CN461" s="262"/>
      <c r="CO461" s="262"/>
      <c r="CP461" s="262"/>
      <c r="CQ461" s="262"/>
      <c r="CR461" s="262"/>
      <c r="CS461" s="262"/>
      <c r="CT461" s="262"/>
      <c r="CU461" s="262"/>
      <c r="CV461" s="262"/>
    </row>
    <row r="462" spans="33:100">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c r="BS462" s="262"/>
      <c r="BT462" s="262"/>
      <c r="BU462" s="262"/>
      <c r="BV462" s="262"/>
      <c r="BW462" s="262"/>
      <c r="BX462" s="262"/>
      <c r="BY462" s="262"/>
      <c r="BZ462" s="262"/>
      <c r="CA462" s="262"/>
      <c r="CB462" s="262"/>
      <c r="CC462" s="262"/>
      <c r="CD462" s="262"/>
      <c r="CE462" s="262"/>
      <c r="CF462" s="262"/>
      <c r="CG462" s="262"/>
      <c r="CH462" s="262"/>
      <c r="CI462" s="262"/>
      <c r="CJ462" s="262"/>
      <c r="CK462" s="262"/>
      <c r="CL462" s="262"/>
      <c r="CM462" s="262"/>
      <c r="CN462" s="262"/>
      <c r="CO462" s="262"/>
      <c r="CP462" s="262"/>
      <c r="CQ462" s="262"/>
      <c r="CR462" s="262"/>
      <c r="CS462" s="262"/>
      <c r="CT462" s="262"/>
      <c r="CU462" s="262"/>
      <c r="CV462" s="262"/>
    </row>
    <row r="463" spans="33:100">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c r="BS463" s="262"/>
      <c r="BT463" s="262"/>
      <c r="BU463" s="262"/>
      <c r="BV463" s="262"/>
      <c r="BW463" s="262"/>
      <c r="BX463" s="262"/>
      <c r="BY463" s="262"/>
      <c r="BZ463" s="262"/>
      <c r="CA463" s="262"/>
      <c r="CB463" s="262"/>
      <c r="CC463" s="262"/>
      <c r="CD463" s="262"/>
      <c r="CE463" s="262"/>
      <c r="CF463" s="262"/>
      <c r="CG463" s="262"/>
      <c r="CH463" s="262"/>
      <c r="CI463" s="262"/>
      <c r="CJ463" s="262"/>
      <c r="CK463" s="262"/>
      <c r="CL463" s="262"/>
      <c r="CM463" s="262"/>
      <c r="CN463" s="262"/>
      <c r="CO463" s="262"/>
      <c r="CP463" s="262"/>
      <c r="CQ463" s="262"/>
      <c r="CR463" s="262"/>
      <c r="CS463" s="262"/>
      <c r="CT463" s="262"/>
      <c r="CU463" s="262"/>
      <c r="CV463" s="262"/>
    </row>
    <row r="464" spans="33:100">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c r="BS464" s="262"/>
      <c r="BT464" s="262"/>
      <c r="BU464" s="262"/>
      <c r="BV464" s="262"/>
      <c r="BW464" s="262"/>
      <c r="BX464" s="262"/>
      <c r="BY464" s="262"/>
      <c r="BZ464" s="262"/>
      <c r="CA464" s="262"/>
      <c r="CB464" s="262"/>
      <c r="CC464" s="262"/>
      <c r="CD464" s="262"/>
      <c r="CE464" s="262"/>
      <c r="CF464" s="262"/>
      <c r="CG464" s="262"/>
      <c r="CH464" s="262"/>
      <c r="CI464" s="262"/>
      <c r="CJ464" s="262"/>
      <c r="CK464" s="262"/>
      <c r="CL464" s="262"/>
      <c r="CM464" s="262"/>
      <c r="CN464" s="262"/>
      <c r="CO464" s="262"/>
      <c r="CP464" s="262"/>
      <c r="CQ464" s="262"/>
      <c r="CR464" s="262"/>
      <c r="CS464" s="262"/>
      <c r="CT464" s="262"/>
      <c r="CU464" s="262"/>
      <c r="CV464" s="262"/>
    </row>
    <row r="465" spans="33:100">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2"/>
      <c r="CB465" s="262"/>
      <c r="CC465" s="262"/>
      <c r="CD465" s="262"/>
      <c r="CE465" s="262"/>
      <c r="CF465" s="262"/>
      <c r="CG465" s="262"/>
      <c r="CH465" s="262"/>
      <c r="CI465" s="262"/>
      <c r="CJ465" s="262"/>
      <c r="CK465" s="262"/>
      <c r="CL465" s="262"/>
      <c r="CM465" s="262"/>
      <c r="CN465" s="262"/>
      <c r="CO465" s="262"/>
      <c r="CP465" s="262"/>
      <c r="CQ465" s="262"/>
      <c r="CR465" s="262"/>
      <c r="CS465" s="262"/>
      <c r="CT465" s="262"/>
      <c r="CU465" s="262"/>
      <c r="CV465" s="262"/>
    </row>
    <row r="466" spans="33:100">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2"/>
      <c r="CB466" s="262"/>
      <c r="CC466" s="262"/>
      <c r="CD466" s="262"/>
      <c r="CE466" s="262"/>
      <c r="CF466" s="262"/>
      <c r="CG466" s="262"/>
      <c r="CH466" s="262"/>
      <c r="CI466" s="262"/>
      <c r="CJ466" s="262"/>
      <c r="CK466" s="262"/>
      <c r="CL466" s="262"/>
      <c r="CM466" s="262"/>
      <c r="CN466" s="262"/>
      <c r="CO466" s="262"/>
      <c r="CP466" s="262"/>
      <c r="CQ466" s="262"/>
      <c r="CR466" s="262"/>
      <c r="CS466" s="262"/>
      <c r="CT466" s="262"/>
      <c r="CU466" s="262"/>
      <c r="CV466" s="262"/>
    </row>
    <row r="467" spans="33:100">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c r="BS467" s="262"/>
      <c r="BT467" s="262"/>
      <c r="BU467" s="262"/>
      <c r="BV467" s="262"/>
      <c r="BW467" s="262"/>
      <c r="BX467" s="262"/>
      <c r="BY467" s="262"/>
      <c r="BZ467" s="262"/>
      <c r="CA467" s="262"/>
      <c r="CB467" s="262"/>
      <c r="CC467" s="262"/>
      <c r="CD467" s="262"/>
      <c r="CE467" s="262"/>
      <c r="CF467" s="262"/>
      <c r="CG467" s="262"/>
      <c r="CH467" s="262"/>
      <c r="CI467" s="262"/>
      <c r="CJ467" s="262"/>
      <c r="CK467" s="262"/>
      <c r="CL467" s="262"/>
      <c r="CM467" s="262"/>
      <c r="CN467" s="262"/>
      <c r="CO467" s="262"/>
      <c r="CP467" s="262"/>
      <c r="CQ467" s="262"/>
      <c r="CR467" s="262"/>
      <c r="CS467" s="262"/>
      <c r="CT467" s="262"/>
      <c r="CU467" s="262"/>
      <c r="CV467" s="262"/>
    </row>
    <row r="468" spans="33:100">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c r="BS468" s="262"/>
      <c r="BT468" s="262"/>
      <c r="BU468" s="262"/>
      <c r="BV468" s="262"/>
      <c r="BW468" s="262"/>
      <c r="BX468" s="262"/>
      <c r="BY468" s="262"/>
      <c r="BZ468" s="262"/>
      <c r="CA468" s="262"/>
      <c r="CB468" s="262"/>
      <c r="CC468" s="262"/>
      <c r="CD468" s="262"/>
      <c r="CE468" s="262"/>
      <c r="CF468" s="262"/>
      <c r="CG468" s="262"/>
      <c r="CH468" s="262"/>
      <c r="CI468" s="262"/>
      <c r="CJ468" s="262"/>
      <c r="CK468" s="262"/>
      <c r="CL468" s="262"/>
      <c r="CM468" s="262"/>
      <c r="CN468" s="262"/>
      <c r="CO468" s="262"/>
      <c r="CP468" s="262"/>
      <c r="CQ468" s="262"/>
      <c r="CR468" s="262"/>
      <c r="CS468" s="262"/>
      <c r="CT468" s="262"/>
      <c r="CU468" s="262"/>
      <c r="CV468" s="262"/>
    </row>
    <row r="469" spans="33:100">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c r="BS469" s="262"/>
      <c r="BT469" s="262"/>
      <c r="BU469" s="262"/>
      <c r="BV469" s="262"/>
      <c r="BW469" s="262"/>
      <c r="BX469" s="262"/>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c r="CU469" s="262"/>
      <c r="CV469" s="262"/>
    </row>
    <row r="470" spans="33:100">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c r="BS470" s="262"/>
      <c r="BT470" s="262"/>
      <c r="BU470" s="262"/>
      <c r="BV470" s="262"/>
      <c r="BW470" s="262"/>
      <c r="BX470" s="262"/>
      <c r="BY470" s="262"/>
      <c r="BZ470" s="262"/>
      <c r="CA470" s="262"/>
      <c r="CB470" s="262"/>
      <c r="CC470" s="262"/>
      <c r="CD470" s="262"/>
      <c r="CE470" s="262"/>
      <c r="CF470" s="262"/>
      <c r="CG470" s="262"/>
      <c r="CH470" s="262"/>
      <c r="CI470" s="262"/>
      <c r="CJ470" s="262"/>
      <c r="CK470" s="262"/>
      <c r="CL470" s="262"/>
      <c r="CM470" s="262"/>
      <c r="CN470" s="262"/>
      <c r="CO470" s="262"/>
      <c r="CP470" s="262"/>
      <c r="CQ470" s="262"/>
      <c r="CR470" s="262"/>
      <c r="CS470" s="262"/>
      <c r="CT470" s="262"/>
      <c r="CU470" s="262"/>
      <c r="CV470" s="262"/>
    </row>
    <row r="471" spans="33:100">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c r="BS471" s="262"/>
      <c r="BT471" s="262"/>
      <c r="BU471" s="262"/>
      <c r="BV471" s="262"/>
      <c r="BW471" s="262"/>
      <c r="BX471" s="262"/>
      <c r="BY471" s="262"/>
      <c r="BZ471" s="262"/>
      <c r="CA471" s="262"/>
      <c r="CB471" s="262"/>
      <c r="CC471" s="262"/>
      <c r="CD471" s="262"/>
      <c r="CE471" s="262"/>
      <c r="CF471" s="262"/>
      <c r="CG471" s="262"/>
      <c r="CH471" s="262"/>
      <c r="CI471" s="262"/>
      <c r="CJ471" s="262"/>
      <c r="CK471" s="262"/>
      <c r="CL471" s="262"/>
      <c r="CM471" s="262"/>
      <c r="CN471" s="262"/>
      <c r="CO471" s="262"/>
      <c r="CP471" s="262"/>
      <c r="CQ471" s="262"/>
      <c r="CR471" s="262"/>
      <c r="CS471" s="262"/>
      <c r="CT471" s="262"/>
      <c r="CU471" s="262"/>
      <c r="CV471" s="262"/>
    </row>
    <row r="472" spans="33:100">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c r="BS472" s="262"/>
      <c r="BT472" s="262"/>
      <c r="BU472" s="262"/>
      <c r="BV472" s="262"/>
      <c r="BW472" s="262"/>
      <c r="BX472" s="262"/>
      <c r="BY472" s="262"/>
      <c r="BZ472" s="262"/>
      <c r="CA472" s="262"/>
      <c r="CB472" s="262"/>
      <c r="CC472" s="262"/>
      <c r="CD472" s="262"/>
      <c r="CE472" s="262"/>
      <c r="CF472" s="262"/>
      <c r="CG472" s="262"/>
      <c r="CH472" s="262"/>
      <c r="CI472" s="262"/>
      <c r="CJ472" s="262"/>
      <c r="CK472" s="262"/>
      <c r="CL472" s="262"/>
      <c r="CM472" s="262"/>
      <c r="CN472" s="262"/>
      <c r="CO472" s="262"/>
      <c r="CP472" s="262"/>
      <c r="CQ472" s="262"/>
      <c r="CR472" s="262"/>
      <c r="CS472" s="262"/>
      <c r="CT472" s="262"/>
      <c r="CU472" s="262"/>
      <c r="CV472" s="262"/>
    </row>
    <row r="473" spans="33:100">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2"/>
      <c r="CB473" s="262"/>
      <c r="CC473" s="262"/>
      <c r="CD473" s="262"/>
      <c r="CE473" s="262"/>
      <c r="CF473" s="262"/>
      <c r="CG473" s="262"/>
      <c r="CH473" s="262"/>
      <c r="CI473" s="262"/>
      <c r="CJ473" s="262"/>
      <c r="CK473" s="262"/>
      <c r="CL473" s="262"/>
      <c r="CM473" s="262"/>
      <c r="CN473" s="262"/>
      <c r="CO473" s="262"/>
      <c r="CP473" s="262"/>
      <c r="CQ473" s="262"/>
      <c r="CR473" s="262"/>
      <c r="CS473" s="262"/>
      <c r="CT473" s="262"/>
      <c r="CU473" s="262"/>
      <c r="CV473" s="262"/>
    </row>
    <row r="474" spans="33:100">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2"/>
      <c r="CB474" s="262"/>
      <c r="CC474" s="262"/>
      <c r="CD474" s="262"/>
      <c r="CE474" s="262"/>
      <c r="CF474" s="262"/>
      <c r="CG474" s="262"/>
      <c r="CH474" s="262"/>
      <c r="CI474" s="262"/>
      <c r="CJ474" s="262"/>
      <c r="CK474" s="262"/>
      <c r="CL474" s="262"/>
      <c r="CM474" s="262"/>
      <c r="CN474" s="262"/>
      <c r="CO474" s="262"/>
      <c r="CP474" s="262"/>
      <c r="CQ474" s="262"/>
      <c r="CR474" s="262"/>
      <c r="CS474" s="262"/>
      <c r="CT474" s="262"/>
      <c r="CU474" s="262"/>
      <c r="CV474" s="262"/>
    </row>
    <row r="475" spans="33:100">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c r="BS475" s="262"/>
      <c r="BT475" s="262"/>
      <c r="BU475" s="262"/>
      <c r="BV475" s="262"/>
      <c r="BW475" s="262"/>
      <c r="BX475" s="262"/>
      <c r="BY475" s="262"/>
      <c r="BZ475" s="262"/>
      <c r="CA475" s="262"/>
      <c r="CB475" s="262"/>
      <c r="CC475" s="262"/>
      <c r="CD475" s="262"/>
      <c r="CE475" s="262"/>
      <c r="CF475" s="262"/>
      <c r="CG475" s="262"/>
      <c r="CH475" s="262"/>
      <c r="CI475" s="262"/>
      <c r="CJ475" s="262"/>
      <c r="CK475" s="262"/>
      <c r="CL475" s="262"/>
      <c r="CM475" s="262"/>
      <c r="CN475" s="262"/>
      <c r="CO475" s="262"/>
      <c r="CP475" s="262"/>
      <c r="CQ475" s="262"/>
      <c r="CR475" s="262"/>
      <c r="CS475" s="262"/>
      <c r="CT475" s="262"/>
      <c r="CU475" s="262"/>
      <c r="CV475" s="262"/>
    </row>
    <row r="476" spans="33:100">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c r="BS476" s="262"/>
      <c r="BT476" s="262"/>
      <c r="BU476" s="262"/>
      <c r="BV476" s="262"/>
      <c r="BW476" s="262"/>
      <c r="BX476" s="262"/>
      <c r="BY476" s="262"/>
      <c r="BZ476" s="262"/>
      <c r="CA476" s="262"/>
      <c r="CB476" s="262"/>
      <c r="CC476" s="262"/>
      <c r="CD476" s="262"/>
      <c r="CE476" s="262"/>
      <c r="CF476" s="262"/>
      <c r="CG476" s="262"/>
      <c r="CH476" s="262"/>
      <c r="CI476" s="262"/>
      <c r="CJ476" s="262"/>
      <c r="CK476" s="262"/>
      <c r="CL476" s="262"/>
      <c r="CM476" s="262"/>
      <c r="CN476" s="262"/>
      <c r="CO476" s="262"/>
      <c r="CP476" s="262"/>
      <c r="CQ476" s="262"/>
      <c r="CR476" s="262"/>
      <c r="CS476" s="262"/>
      <c r="CT476" s="262"/>
      <c r="CU476" s="262"/>
      <c r="CV476" s="262"/>
    </row>
    <row r="477" spans="33:100">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c r="BS477" s="262"/>
      <c r="BT477" s="262"/>
      <c r="BU477" s="262"/>
      <c r="BV477" s="262"/>
      <c r="BW477" s="262"/>
      <c r="BX477" s="262"/>
      <c r="BY477" s="262"/>
      <c r="BZ477" s="262"/>
      <c r="CA477" s="262"/>
      <c r="CB477" s="262"/>
      <c r="CC477" s="262"/>
      <c r="CD477" s="262"/>
      <c r="CE477" s="262"/>
      <c r="CF477" s="262"/>
      <c r="CG477" s="262"/>
      <c r="CH477" s="262"/>
      <c r="CI477" s="262"/>
      <c r="CJ477" s="262"/>
      <c r="CK477" s="262"/>
      <c r="CL477" s="262"/>
      <c r="CM477" s="262"/>
      <c r="CN477" s="262"/>
      <c r="CO477" s="262"/>
      <c r="CP477" s="262"/>
      <c r="CQ477" s="262"/>
      <c r="CR477" s="262"/>
      <c r="CS477" s="262"/>
      <c r="CT477" s="262"/>
      <c r="CU477" s="262"/>
      <c r="CV477" s="262"/>
    </row>
    <row r="478" spans="33:100">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c r="BS478" s="262"/>
      <c r="BT478" s="262"/>
      <c r="BU478" s="262"/>
      <c r="BV478" s="262"/>
      <c r="BW478" s="262"/>
      <c r="BX478" s="262"/>
      <c r="BY478" s="262"/>
      <c r="BZ478" s="262"/>
      <c r="CA478" s="262"/>
      <c r="CB478" s="262"/>
      <c r="CC478" s="262"/>
      <c r="CD478" s="262"/>
      <c r="CE478" s="262"/>
      <c r="CF478" s="262"/>
      <c r="CG478" s="262"/>
      <c r="CH478" s="262"/>
      <c r="CI478" s="262"/>
      <c r="CJ478" s="262"/>
      <c r="CK478" s="262"/>
      <c r="CL478" s="262"/>
      <c r="CM478" s="262"/>
      <c r="CN478" s="262"/>
      <c r="CO478" s="262"/>
      <c r="CP478" s="262"/>
      <c r="CQ478" s="262"/>
      <c r="CR478" s="262"/>
      <c r="CS478" s="262"/>
      <c r="CT478" s="262"/>
      <c r="CU478" s="262"/>
      <c r="CV478" s="262"/>
    </row>
    <row r="479" spans="33:100">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c r="BS479" s="262"/>
      <c r="BT479" s="262"/>
      <c r="BU479" s="262"/>
      <c r="BV479" s="262"/>
      <c r="BW479" s="262"/>
      <c r="BX479" s="262"/>
      <c r="BY479" s="262"/>
      <c r="BZ479" s="262"/>
      <c r="CA479" s="262"/>
      <c r="CB479" s="262"/>
      <c r="CC479" s="262"/>
      <c r="CD479" s="262"/>
      <c r="CE479" s="262"/>
      <c r="CF479" s="262"/>
      <c r="CG479" s="262"/>
      <c r="CH479" s="262"/>
      <c r="CI479" s="262"/>
      <c r="CJ479" s="262"/>
      <c r="CK479" s="262"/>
      <c r="CL479" s="262"/>
      <c r="CM479" s="262"/>
      <c r="CN479" s="262"/>
      <c r="CO479" s="262"/>
      <c r="CP479" s="262"/>
      <c r="CQ479" s="262"/>
      <c r="CR479" s="262"/>
      <c r="CS479" s="262"/>
      <c r="CT479" s="262"/>
      <c r="CU479" s="262"/>
      <c r="CV479" s="262"/>
    </row>
    <row r="480" spans="33:100">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c r="BS480" s="262"/>
      <c r="BT480" s="262"/>
      <c r="BU480" s="262"/>
      <c r="BV480" s="262"/>
      <c r="BW480" s="262"/>
      <c r="BX480" s="262"/>
      <c r="BY480" s="262"/>
      <c r="BZ480" s="262"/>
      <c r="CA480" s="262"/>
      <c r="CB480" s="262"/>
      <c r="CC480" s="262"/>
      <c r="CD480" s="262"/>
      <c r="CE480" s="262"/>
      <c r="CF480" s="262"/>
      <c r="CG480" s="262"/>
      <c r="CH480" s="262"/>
      <c r="CI480" s="262"/>
      <c r="CJ480" s="262"/>
      <c r="CK480" s="262"/>
      <c r="CL480" s="262"/>
      <c r="CM480" s="262"/>
      <c r="CN480" s="262"/>
      <c r="CO480" s="262"/>
      <c r="CP480" s="262"/>
      <c r="CQ480" s="262"/>
      <c r="CR480" s="262"/>
      <c r="CS480" s="262"/>
      <c r="CT480" s="262"/>
      <c r="CU480" s="262"/>
      <c r="CV480" s="262"/>
    </row>
    <row r="481" spans="33:100">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c r="BS481" s="262"/>
      <c r="BT481" s="262"/>
      <c r="BU481" s="262"/>
      <c r="BV481" s="262"/>
      <c r="BW481" s="262"/>
      <c r="BX481" s="262"/>
      <c r="BY481" s="262"/>
      <c r="BZ481" s="262"/>
      <c r="CA481" s="262"/>
      <c r="CB481" s="262"/>
      <c r="CC481" s="262"/>
      <c r="CD481" s="262"/>
      <c r="CE481" s="262"/>
      <c r="CF481" s="262"/>
      <c r="CG481" s="262"/>
      <c r="CH481" s="262"/>
      <c r="CI481" s="262"/>
      <c r="CJ481" s="262"/>
      <c r="CK481" s="262"/>
      <c r="CL481" s="262"/>
      <c r="CM481" s="262"/>
      <c r="CN481" s="262"/>
      <c r="CO481" s="262"/>
      <c r="CP481" s="262"/>
      <c r="CQ481" s="262"/>
      <c r="CR481" s="262"/>
      <c r="CS481" s="262"/>
      <c r="CT481" s="262"/>
      <c r="CU481" s="262"/>
      <c r="CV481" s="262"/>
    </row>
    <row r="482" spans="33:100">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c r="BS482" s="262"/>
      <c r="BT482" s="262"/>
      <c r="BU482" s="262"/>
      <c r="BV482" s="262"/>
      <c r="BW482" s="262"/>
      <c r="BX482" s="262"/>
      <c r="BY482" s="262"/>
      <c r="BZ482" s="262"/>
      <c r="CA482" s="262"/>
      <c r="CB482" s="262"/>
      <c r="CC482" s="262"/>
      <c r="CD482" s="262"/>
      <c r="CE482" s="262"/>
      <c r="CF482" s="262"/>
      <c r="CG482" s="262"/>
      <c r="CH482" s="262"/>
      <c r="CI482" s="262"/>
      <c r="CJ482" s="262"/>
      <c r="CK482" s="262"/>
      <c r="CL482" s="262"/>
      <c r="CM482" s="262"/>
      <c r="CN482" s="262"/>
      <c r="CO482" s="262"/>
      <c r="CP482" s="262"/>
      <c r="CQ482" s="262"/>
      <c r="CR482" s="262"/>
      <c r="CS482" s="262"/>
      <c r="CT482" s="262"/>
      <c r="CU482" s="262"/>
      <c r="CV482" s="262"/>
    </row>
    <row r="483" spans="33:100">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c r="BS483" s="262"/>
      <c r="BT483" s="262"/>
      <c r="BU483" s="262"/>
      <c r="BV483" s="262"/>
      <c r="BW483" s="262"/>
      <c r="BX483" s="262"/>
      <c r="BY483" s="262"/>
      <c r="BZ483" s="262"/>
      <c r="CA483" s="262"/>
      <c r="CB483" s="262"/>
      <c r="CC483" s="262"/>
      <c r="CD483" s="262"/>
      <c r="CE483" s="262"/>
      <c r="CF483" s="262"/>
      <c r="CG483" s="262"/>
      <c r="CH483" s="262"/>
      <c r="CI483" s="262"/>
      <c r="CJ483" s="262"/>
      <c r="CK483" s="262"/>
      <c r="CL483" s="262"/>
      <c r="CM483" s="262"/>
      <c r="CN483" s="262"/>
      <c r="CO483" s="262"/>
      <c r="CP483" s="262"/>
      <c r="CQ483" s="262"/>
      <c r="CR483" s="262"/>
      <c r="CS483" s="262"/>
      <c r="CT483" s="262"/>
      <c r="CU483" s="262"/>
      <c r="CV483" s="262"/>
    </row>
    <row r="484" spans="33:100">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c r="BS484" s="262"/>
      <c r="BT484" s="262"/>
      <c r="BU484" s="262"/>
      <c r="BV484" s="262"/>
      <c r="BW484" s="262"/>
      <c r="BX484" s="262"/>
      <c r="BY484" s="262"/>
      <c r="BZ484" s="262"/>
      <c r="CA484" s="262"/>
      <c r="CB484" s="262"/>
      <c r="CC484" s="262"/>
      <c r="CD484" s="262"/>
      <c r="CE484" s="262"/>
      <c r="CF484" s="262"/>
      <c r="CG484" s="262"/>
      <c r="CH484" s="262"/>
      <c r="CI484" s="262"/>
      <c r="CJ484" s="262"/>
      <c r="CK484" s="262"/>
      <c r="CL484" s="262"/>
      <c r="CM484" s="262"/>
      <c r="CN484" s="262"/>
      <c r="CO484" s="262"/>
      <c r="CP484" s="262"/>
      <c r="CQ484" s="262"/>
      <c r="CR484" s="262"/>
      <c r="CS484" s="262"/>
      <c r="CT484" s="262"/>
      <c r="CU484" s="262"/>
      <c r="CV484" s="262"/>
    </row>
    <row r="485" spans="33:100">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c r="BS485" s="262"/>
      <c r="BT485" s="262"/>
      <c r="BU485" s="262"/>
      <c r="BV485" s="262"/>
      <c r="BW485" s="262"/>
      <c r="BX485" s="262"/>
      <c r="BY485" s="262"/>
      <c r="BZ485" s="262"/>
      <c r="CA485" s="262"/>
      <c r="CB485" s="262"/>
      <c r="CC485" s="262"/>
      <c r="CD485" s="262"/>
      <c r="CE485" s="262"/>
      <c r="CF485" s="262"/>
      <c r="CG485" s="262"/>
      <c r="CH485" s="262"/>
      <c r="CI485" s="262"/>
      <c r="CJ485" s="262"/>
      <c r="CK485" s="262"/>
      <c r="CL485" s="262"/>
      <c r="CM485" s="262"/>
      <c r="CN485" s="262"/>
      <c r="CO485" s="262"/>
      <c r="CP485" s="262"/>
      <c r="CQ485" s="262"/>
      <c r="CR485" s="262"/>
      <c r="CS485" s="262"/>
      <c r="CT485" s="262"/>
      <c r="CU485" s="262"/>
      <c r="CV485" s="262"/>
    </row>
    <row r="486" spans="33:100">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c r="BS486" s="262"/>
      <c r="BT486" s="262"/>
      <c r="BU486" s="262"/>
      <c r="BV486" s="262"/>
      <c r="BW486" s="262"/>
      <c r="BX486" s="262"/>
      <c r="BY486" s="262"/>
      <c r="BZ486" s="262"/>
      <c r="CA486" s="262"/>
      <c r="CB486" s="262"/>
      <c r="CC486" s="262"/>
      <c r="CD486" s="262"/>
      <c r="CE486" s="262"/>
      <c r="CF486" s="262"/>
      <c r="CG486" s="262"/>
      <c r="CH486" s="262"/>
      <c r="CI486" s="262"/>
      <c r="CJ486" s="262"/>
      <c r="CK486" s="262"/>
      <c r="CL486" s="262"/>
      <c r="CM486" s="262"/>
      <c r="CN486" s="262"/>
      <c r="CO486" s="262"/>
      <c r="CP486" s="262"/>
      <c r="CQ486" s="262"/>
      <c r="CR486" s="262"/>
      <c r="CS486" s="262"/>
      <c r="CT486" s="262"/>
      <c r="CU486" s="262"/>
      <c r="CV486" s="262"/>
    </row>
    <row r="487" spans="33:100">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c r="BS487" s="262"/>
      <c r="BT487" s="262"/>
      <c r="BU487" s="262"/>
      <c r="BV487" s="262"/>
      <c r="BW487" s="262"/>
      <c r="BX487" s="262"/>
      <c r="BY487" s="262"/>
      <c r="BZ487" s="262"/>
      <c r="CA487" s="262"/>
      <c r="CB487" s="262"/>
      <c r="CC487" s="262"/>
      <c r="CD487" s="262"/>
      <c r="CE487" s="262"/>
      <c r="CF487" s="262"/>
      <c r="CG487" s="262"/>
      <c r="CH487" s="262"/>
      <c r="CI487" s="262"/>
      <c r="CJ487" s="262"/>
      <c r="CK487" s="262"/>
      <c r="CL487" s="262"/>
      <c r="CM487" s="262"/>
      <c r="CN487" s="262"/>
      <c r="CO487" s="262"/>
      <c r="CP487" s="262"/>
      <c r="CQ487" s="262"/>
      <c r="CR487" s="262"/>
      <c r="CS487" s="262"/>
      <c r="CT487" s="262"/>
      <c r="CU487" s="262"/>
      <c r="CV487" s="262"/>
    </row>
    <row r="488" spans="33:100">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c r="BS488" s="262"/>
      <c r="BT488" s="262"/>
      <c r="BU488" s="262"/>
      <c r="BV488" s="262"/>
      <c r="BW488" s="262"/>
      <c r="BX488" s="262"/>
      <c r="BY488" s="262"/>
      <c r="BZ488" s="262"/>
      <c r="CA488" s="262"/>
      <c r="CB488" s="262"/>
      <c r="CC488" s="262"/>
      <c r="CD488" s="262"/>
      <c r="CE488" s="262"/>
      <c r="CF488" s="262"/>
      <c r="CG488" s="262"/>
      <c r="CH488" s="262"/>
      <c r="CI488" s="262"/>
      <c r="CJ488" s="262"/>
      <c r="CK488" s="262"/>
      <c r="CL488" s="262"/>
      <c r="CM488" s="262"/>
      <c r="CN488" s="262"/>
      <c r="CO488" s="262"/>
      <c r="CP488" s="262"/>
      <c r="CQ488" s="262"/>
      <c r="CR488" s="262"/>
      <c r="CS488" s="262"/>
      <c r="CT488" s="262"/>
      <c r="CU488" s="262"/>
      <c r="CV488" s="262"/>
    </row>
    <row r="489" spans="33:100">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c r="BS489" s="262"/>
      <c r="BT489" s="262"/>
      <c r="BU489" s="262"/>
      <c r="BV489" s="262"/>
      <c r="BW489" s="262"/>
      <c r="BX489" s="262"/>
      <c r="BY489" s="262"/>
      <c r="BZ489" s="262"/>
      <c r="CA489" s="262"/>
      <c r="CB489" s="262"/>
      <c r="CC489" s="262"/>
      <c r="CD489" s="262"/>
      <c r="CE489" s="262"/>
      <c r="CF489" s="262"/>
      <c r="CG489" s="262"/>
      <c r="CH489" s="262"/>
      <c r="CI489" s="262"/>
      <c r="CJ489" s="262"/>
      <c r="CK489" s="262"/>
      <c r="CL489" s="262"/>
      <c r="CM489" s="262"/>
      <c r="CN489" s="262"/>
      <c r="CO489" s="262"/>
      <c r="CP489" s="262"/>
      <c r="CQ489" s="262"/>
      <c r="CR489" s="262"/>
      <c r="CS489" s="262"/>
      <c r="CT489" s="262"/>
      <c r="CU489" s="262"/>
      <c r="CV489" s="262"/>
    </row>
    <row r="490" spans="33:100">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c r="BS490" s="262"/>
      <c r="BT490" s="262"/>
      <c r="BU490" s="262"/>
      <c r="BV490" s="262"/>
      <c r="BW490" s="262"/>
      <c r="BX490" s="262"/>
      <c r="BY490" s="262"/>
      <c r="BZ490" s="262"/>
      <c r="CA490" s="262"/>
      <c r="CB490" s="262"/>
      <c r="CC490" s="262"/>
      <c r="CD490" s="262"/>
      <c r="CE490" s="262"/>
      <c r="CF490" s="262"/>
      <c r="CG490" s="262"/>
      <c r="CH490" s="262"/>
      <c r="CI490" s="262"/>
      <c r="CJ490" s="262"/>
      <c r="CK490" s="262"/>
      <c r="CL490" s="262"/>
      <c r="CM490" s="262"/>
      <c r="CN490" s="262"/>
      <c r="CO490" s="262"/>
      <c r="CP490" s="262"/>
      <c r="CQ490" s="262"/>
      <c r="CR490" s="262"/>
      <c r="CS490" s="262"/>
      <c r="CT490" s="262"/>
      <c r="CU490" s="262"/>
      <c r="CV490" s="262"/>
    </row>
    <row r="491" spans="33:100">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c r="BS491" s="262"/>
      <c r="BT491" s="262"/>
      <c r="BU491" s="262"/>
      <c r="BV491" s="262"/>
      <c r="BW491" s="262"/>
      <c r="BX491" s="262"/>
      <c r="BY491" s="262"/>
      <c r="BZ491" s="262"/>
      <c r="CA491" s="262"/>
      <c r="CB491" s="262"/>
      <c r="CC491" s="262"/>
      <c r="CD491" s="262"/>
      <c r="CE491" s="262"/>
      <c r="CF491" s="262"/>
      <c r="CG491" s="262"/>
      <c r="CH491" s="262"/>
      <c r="CI491" s="262"/>
      <c r="CJ491" s="262"/>
      <c r="CK491" s="262"/>
      <c r="CL491" s="262"/>
      <c r="CM491" s="262"/>
      <c r="CN491" s="262"/>
      <c r="CO491" s="262"/>
      <c r="CP491" s="262"/>
      <c r="CQ491" s="262"/>
      <c r="CR491" s="262"/>
      <c r="CS491" s="262"/>
      <c r="CT491" s="262"/>
      <c r="CU491" s="262"/>
      <c r="CV491" s="262"/>
    </row>
    <row r="492" spans="33:100">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c r="BS492" s="262"/>
      <c r="BT492" s="262"/>
      <c r="BU492" s="262"/>
      <c r="BV492" s="262"/>
      <c r="BW492" s="262"/>
      <c r="BX492" s="262"/>
      <c r="BY492" s="262"/>
      <c r="BZ492" s="262"/>
      <c r="CA492" s="262"/>
      <c r="CB492" s="262"/>
      <c r="CC492" s="262"/>
      <c r="CD492" s="262"/>
      <c r="CE492" s="262"/>
      <c r="CF492" s="262"/>
      <c r="CG492" s="262"/>
      <c r="CH492" s="262"/>
      <c r="CI492" s="262"/>
      <c r="CJ492" s="262"/>
      <c r="CK492" s="262"/>
      <c r="CL492" s="262"/>
      <c r="CM492" s="262"/>
      <c r="CN492" s="262"/>
      <c r="CO492" s="262"/>
      <c r="CP492" s="262"/>
      <c r="CQ492" s="262"/>
      <c r="CR492" s="262"/>
      <c r="CS492" s="262"/>
      <c r="CT492" s="262"/>
      <c r="CU492" s="262"/>
      <c r="CV492" s="262"/>
    </row>
    <row r="493" spans="33:100">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c r="BS493" s="262"/>
      <c r="BT493" s="262"/>
      <c r="BU493" s="262"/>
      <c r="BV493" s="262"/>
      <c r="BW493" s="262"/>
      <c r="BX493" s="262"/>
      <c r="BY493" s="262"/>
      <c r="BZ493" s="262"/>
      <c r="CA493" s="262"/>
      <c r="CB493" s="262"/>
      <c r="CC493" s="262"/>
      <c r="CD493" s="262"/>
      <c r="CE493" s="262"/>
      <c r="CF493" s="262"/>
      <c r="CG493" s="262"/>
      <c r="CH493" s="262"/>
      <c r="CI493" s="262"/>
      <c r="CJ493" s="262"/>
      <c r="CK493" s="262"/>
      <c r="CL493" s="262"/>
      <c r="CM493" s="262"/>
      <c r="CN493" s="262"/>
      <c r="CO493" s="262"/>
      <c r="CP493" s="262"/>
      <c r="CQ493" s="262"/>
      <c r="CR493" s="262"/>
      <c r="CS493" s="262"/>
      <c r="CT493" s="262"/>
      <c r="CU493" s="262"/>
      <c r="CV493" s="262"/>
    </row>
    <row r="494" spans="33:100">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c r="BS494" s="262"/>
      <c r="BT494" s="262"/>
      <c r="BU494" s="262"/>
      <c r="BV494" s="262"/>
      <c r="BW494" s="262"/>
      <c r="BX494" s="262"/>
      <c r="BY494" s="262"/>
      <c r="BZ494" s="262"/>
      <c r="CA494" s="262"/>
      <c r="CB494" s="262"/>
      <c r="CC494" s="262"/>
      <c r="CD494" s="262"/>
      <c r="CE494" s="262"/>
      <c r="CF494" s="262"/>
      <c r="CG494" s="262"/>
      <c r="CH494" s="262"/>
      <c r="CI494" s="262"/>
      <c r="CJ494" s="262"/>
      <c r="CK494" s="262"/>
      <c r="CL494" s="262"/>
      <c r="CM494" s="262"/>
      <c r="CN494" s="262"/>
      <c r="CO494" s="262"/>
      <c r="CP494" s="262"/>
      <c r="CQ494" s="262"/>
      <c r="CR494" s="262"/>
      <c r="CS494" s="262"/>
      <c r="CT494" s="262"/>
      <c r="CU494" s="262"/>
      <c r="CV494" s="262"/>
    </row>
    <row r="495" spans="33:100">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c r="BS495" s="262"/>
      <c r="BT495" s="262"/>
      <c r="BU495" s="262"/>
      <c r="BV495" s="262"/>
      <c r="BW495" s="262"/>
      <c r="BX495" s="262"/>
      <c r="BY495" s="262"/>
      <c r="BZ495" s="262"/>
      <c r="CA495" s="262"/>
      <c r="CB495" s="262"/>
      <c r="CC495" s="262"/>
      <c r="CD495" s="262"/>
      <c r="CE495" s="262"/>
      <c r="CF495" s="262"/>
      <c r="CG495" s="262"/>
      <c r="CH495" s="262"/>
      <c r="CI495" s="262"/>
      <c r="CJ495" s="262"/>
      <c r="CK495" s="262"/>
      <c r="CL495" s="262"/>
      <c r="CM495" s="262"/>
      <c r="CN495" s="262"/>
      <c r="CO495" s="262"/>
      <c r="CP495" s="262"/>
      <c r="CQ495" s="262"/>
      <c r="CR495" s="262"/>
      <c r="CS495" s="262"/>
      <c r="CT495" s="262"/>
      <c r="CU495" s="262"/>
      <c r="CV495" s="262"/>
    </row>
    <row r="496" spans="33:100">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c r="BS496" s="262"/>
      <c r="BT496" s="262"/>
      <c r="BU496" s="262"/>
      <c r="BV496" s="262"/>
      <c r="BW496" s="262"/>
      <c r="BX496" s="262"/>
      <c r="BY496" s="262"/>
      <c r="BZ496" s="262"/>
      <c r="CA496" s="262"/>
      <c r="CB496" s="262"/>
      <c r="CC496" s="262"/>
      <c r="CD496" s="262"/>
      <c r="CE496" s="262"/>
      <c r="CF496" s="262"/>
      <c r="CG496" s="262"/>
      <c r="CH496" s="262"/>
      <c r="CI496" s="262"/>
      <c r="CJ496" s="262"/>
      <c r="CK496" s="262"/>
      <c r="CL496" s="262"/>
      <c r="CM496" s="262"/>
      <c r="CN496" s="262"/>
      <c r="CO496" s="262"/>
      <c r="CP496" s="262"/>
      <c r="CQ496" s="262"/>
      <c r="CR496" s="262"/>
      <c r="CS496" s="262"/>
      <c r="CT496" s="262"/>
      <c r="CU496" s="262"/>
      <c r="CV496" s="262"/>
    </row>
    <row r="497" spans="33:100">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c r="BS497" s="262"/>
      <c r="BT497" s="262"/>
      <c r="BU497" s="262"/>
      <c r="BV497" s="262"/>
      <c r="BW497" s="262"/>
      <c r="BX497" s="262"/>
      <c r="BY497" s="262"/>
      <c r="BZ497" s="262"/>
      <c r="CA497" s="262"/>
      <c r="CB497" s="262"/>
      <c r="CC497" s="262"/>
      <c r="CD497" s="262"/>
      <c r="CE497" s="262"/>
      <c r="CF497" s="262"/>
      <c r="CG497" s="262"/>
      <c r="CH497" s="262"/>
      <c r="CI497" s="262"/>
      <c r="CJ497" s="262"/>
      <c r="CK497" s="262"/>
      <c r="CL497" s="262"/>
      <c r="CM497" s="262"/>
      <c r="CN497" s="262"/>
      <c r="CO497" s="262"/>
      <c r="CP497" s="262"/>
      <c r="CQ497" s="262"/>
      <c r="CR497" s="262"/>
      <c r="CS497" s="262"/>
      <c r="CT497" s="262"/>
      <c r="CU497" s="262"/>
      <c r="CV497" s="262"/>
    </row>
    <row r="498" spans="33:100">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c r="BS498" s="262"/>
      <c r="BT498" s="262"/>
      <c r="BU498" s="262"/>
      <c r="BV498" s="262"/>
      <c r="BW498" s="262"/>
      <c r="BX498" s="262"/>
      <c r="BY498" s="262"/>
      <c r="BZ498" s="262"/>
      <c r="CA498" s="262"/>
      <c r="CB498" s="262"/>
      <c r="CC498" s="262"/>
      <c r="CD498" s="262"/>
      <c r="CE498" s="262"/>
      <c r="CF498" s="262"/>
      <c r="CG498" s="262"/>
      <c r="CH498" s="262"/>
      <c r="CI498" s="262"/>
      <c r="CJ498" s="262"/>
      <c r="CK498" s="262"/>
      <c r="CL498" s="262"/>
      <c r="CM498" s="262"/>
      <c r="CN498" s="262"/>
      <c r="CO498" s="262"/>
      <c r="CP498" s="262"/>
      <c r="CQ498" s="262"/>
      <c r="CR498" s="262"/>
      <c r="CS498" s="262"/>
      <c r="CT498" s="262"/>
      <c r="CU498" s="262"/>
      <c r="CV498" s="262"/>
    </row>
    <row r="499" spans="33:100">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c r="BS499" s="262"/>
      <c r="BT499" s="262"/>
      <c r="BU499" s="262"/>
      <c r="BV499" s="262"/>
      <c r="BW499" s="262"/>
      <c r="BX499" s="262"/>
      <c r="BY499" s="262"/>
      <c r="BZ499" s="262"/>
      <c r="CA499" s="262"/>
      <c r="CB499" s="262"/>
      <c r="CC499" s="262"/>
      <c r="CD499" s="262"/>
      <c r="CE499" s="262"/>
      <c r="CF499" s="262"/>
      <c r="CG499" s="262"/>
      <c r="CH499" s="262"/>
      <c r="CI499" s="262"/>
      <c r="CJ499" s="262"/>
      <c r="CK499" s="262"/>
      <c r="CL499" s="262"/>
      <c r="CM499" s="262"/>
      <c r="CN499" s="262"/>
      <c r="CO499" s="262"/>
      <c r="CP499" s="262"/>
      <c r="CQ499" s="262"/>
      <c r="CR499" s="262"/>
      <c r="CS499" s="262"/>
      <c r="CT499" s="262"/>
      <c r="CU499" s="262"/>
      <c r="CV499" s="262"/>
    </row>
    <row r="500" spans="33:100">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c r="BS500" s="262"/>
      <c r="BT500" s="262"/>
      <c r="BU500" s="262"/>
      <c r="BV500" s="262"/>
      <c r="BW500" s="262"/>
      <c r="BX500" s="262"/>
      <c r="BY500" s="262"/>
      <c r="BZ500" s="262"/>
      <c r="CA500" s="262"/>
      <c r="CB500" s="262"/>
      <c r="CC500" s="262"/>
      <c r="CD500" s="262"/>
      <c r="CE500" s="262"/>
      <c r="CF500" s="262"/>
      <c r="CG500" s="262"/>
      <c r="CH500" s="262"/>
      <c r="CI500" s="262"/>
      <c r="CJ500" s="262"/>
      <c r="CK500" s="262"/>
      <c r="CL500" s="262"/>
      <c r="CM500" s="262"/>
      <c r="CN500" s="262"/>
      <c r="CO500" s="262"/>
      <c r="CP500" s="262"/>
      <c r="CQ500" s="262"/>
      <c r="CR500" s="262"/>
      <c r="CS500" s="262"/>
      <c r="CT500" s="262"/>
      <c r="CU500" s="262"/>
      <c r="CV500" s="262"/>
    </row>
    <row r="501" spans="33:100">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c r="BS501" s="262"/>
      <c r="BT501" s="262"/>
      <c r="BU501" s="262"/>
      <c r="BV501" s="262"/>
      <c r="BW501" s="262"/>
      <c r="BX501" s="262"/>
      <c r="BY501" s="262"/>
      <c r="BZ501" s="262"/>
      <c r="CA501" s="262"/>
      <c r="CB501" s="262"/>
      <c r="CC501" s="262"/>
      <c r="CD501" s="262"/>
      <c r="CE501" s="262"/>
      <c r="CF501" s="262"/>
      <c r="CG501" s="262"/>
      <c r="CH501" s="262"/>
      <c r="CI501" s="262"/>
      <c r="CJ501" s="262"/>
      <c r="CK501" s="262"/>
      <c r="CL501" s="262"/>
      <c r="CM501" s="262"/>
      <c r="CN501" s="262"/>
      <c r="CO501" s="262"/>
      <c r="CP501" s="262"/>
      <c r="CQ501" s="262"/>
      <c r="CR501" s="262"/>
      <c r="CS501" s="262"/>
      <c r="CT501" s="262"/>
      <c r="CU501" s="262"/>
      <c r="CV501" s="262"/>
    </row>
    <row r="502" spans="33:100">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c r="BS502" s="262"/>
      <c r="BT502" s="262"/>
      <c r="BU502" s="262"/>
      <c r="BV502" s="262"/>
      <c r="BW502" s="262"/>
      <c r="BX502" s="262"/>
      <c r="BY502" s="262"/>
      <c r="BZ502" s="262"/>
      <c r="CA502" s="262"/>
      <c r="CB502" s="262"/>
      <c r="CC502" s="262"/>
      <c r="CD502" s="262"/>
      <c r="CE502" s="262"/>
      <c r="CF502" s="262"/>
      <c r="CG502" s="262"/>
      <c r="CH502" s="262"/>
      <c r="CI502" s="262"/>
      <c r="CJ502" s="262"/>
      <c r="CK502" s="262"/>
      <c r="CL502" s="262"/>
      <c r="CM502" s="262"/>
      <c r="CN502" s="262"/>
      <c r="CO502" s="262"/>
      <c r="CP502" s="262"/>
      <c r="CQ502" s="262"/>
      <c r="CR502" s="262"/>
      <c r="CS502" s="262"/>
      <c r="CT502" s="262"/>
      <c r="CU502" s="262"/>
      <c r="CV502" s="262"/>
    </row>
    <row r="503" spans="33:100">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c r="BS503" s="262"/>
      <c r="BT503" s="262"/>
      <c r="BU503" s="262"/>
      <c r="BV503" s="262"/>
      <c r="BW503" s="262"/>
      <c r="BX503" s="262"/>
      <c r="BY503" s="262"/>
      <c r="BZ503" s="262"/>
      <c r="CA503" s="262"/>
      <c r="CB503" s="262"/>
      <c r="CC503" s="262"/>
      <c r="CD503" s="262"/>
      <c r="CE503" s="262"/>
      <c r="CF503" s="262"/>
      <c r="CG503" s="262"/>
      <c r="CH503" s="262"/>
      <c r="CI503" s="262"/>
      <c r="CJ503" s="262"/>
      <c r="CK503" s="262"/>
      <c r="CL503" s="262"/>
      <c r="CM503" s="262"/>
      <c r="CN503" s="262"/>
      <c r="CO503" s="262"/>
      <c r="CP503" s="262"/>
      <c r="CQ503" s="262"/>
      <c r="CR503" s="262"/>
      <c r="CS503" s="262"/>
      <c r="CT503" s="262"/>
      <c r="CU503" s="262"/>
      <c r="CV503" s="262"/>
    </row>
    <row r="504" spans="33:100">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c r="BS504" s="262"/>
      <c r="BT504" s="262"/>
      <c r="BU504" s="262"/>
      <c r="BV504" s="262"/>
      <c r="BW504" s="262"/>
      <c r="BX504" s="262"/>
      <c r="BY504" s="262"/>
      <c r="BZ504" s="262"/>
      <c r="CA504" s="262"/>
      <c r="CB504" s="262"/>
      <c r="CC504" s="262"/>
      <c r="CD504" s="262"/>
      <c r="CE504" s="262"/>
      <c r="CF504" s="262"/>
      <c r="CG504" s="262"/>
      <c r="CH504" s="262"/>
      <c r="CI504" s="262"/>
      <c r="CJ504" s="262"/>
      <c r="CK504" s="262"/>
      <c r="CL504" s="262"/>
      <c r="CM504" s="262"/>
      <c r="CN504" s="262"/>
      <c r="CO504" s="262"/>
      <c r="CP504" s="262"/>
      <c r="CQ504" s="262"/>
      <c r="CR504" s="262"/>
      <c r="CS504" s="262"/>
      <c r="CT504" s="262"/>
      <c r="CU504" s="262"/>
      <c r="CV504" s="262"/>
    </row>
    <row r="505" spans="33:100">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c r="BS505" s="262"/>
      <c r="BT505" s="262"/>
      <c r="BU505" s="262"/>
      <c r="BV505" s="262"/>
      <c r="BW505" s="262"/>
      <c r="BX505" s="262"/>
      <c r="BY505" s="262"/>
      <c r="BZ505" s="262"/>
      <c r="CA505" s="262"/>
      <c r="CB505" s="262"/>
      <c r="CC505" s="262"/>
      <c r="CD505" s="262"/>
      <c r="CE505" s="262"/>
      <c r="CF505" s="262"/>
      <c r="CG505" s="262"/>
      <c r="CH505" s="262"/>
      <c r="CI505" s="262"/>
      <c r="CJ505" s="262"/>
      <c r="CK505" s="262"/>
      <c r="CL505" s="262"/>
      <c r="CM505" s="262"/>
      <c r="CN505" s="262"/>
      <c r="CO505" s="262"/>
      <c r="CP505" s="262"/>
      <c r="CQ505" s="262"/>
      <c r="CR505" s="262"/>
      <c r="CS505" s="262"/>
      <c r="CT505" s="262"/>
      <c r="CU505" s="262"/>
      <c r="CV505" s="262"/>
    </row>
    <row r="506" spans="33:100">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c r="BS506" s="262"/>
      <c r="BT506" s="262"/>
      <c r="BU506" s="262"/>
      <c r="BV506" s="262"/>
      <c r="BW506" s="262"/>
      <c r="BX506" s="262"/>
      <c r="BY506" s="262"/>
      <c r="BZ506" s="262"/>
      <c r="CA506" s="262"/>
      <c r="CB506" s="262"/>
      <c r="CC506" s="262"/>
      <c r="CD506" s="262"/>
      <c r="CE506" s="262"/>
      <c r="CF506" s="262"/>
      <c r="CG506" s="262"/>
      <c r="CH506" s="262"/>
      <c r="CI506" s="262"/>
      <c r="CJ506" s="262"/>
      <c r="CK506" s="262"/>
      <c r="CL506" s="262"/>
      <c r="CM506" s="262"/>
      <c r="CN506" s="262"/>
      <c r="CO506" s="262"/>
      <c r="CP506" s="262"/>
      <c r="CQ506" s="262"/>
      <c r="CR506" s="262"/>
      <c r="CS506" s="262"/>
      <c r="CT506" s="262"/>
      <c r="CU506" s="262"/>
      <c r="CV506" s="262"/>
    </row>
    <row r="507" spans="33:100">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c r="BS507" s="262"/>
      <c r="BT507" s="262"/>
      <c r="BU507" s="262"/>
      <c r="BV507" s="262"/>
      <c r="BW507" s="262"/>
      <c r="BX507" s="262"/>
      <c r="BY507" s="262"/>
      <c r="BZ507" s="262"/>
      <c r="CA507" s="262"/>
      <c r="CB507" s="262"/>
      <c r="CC507" s="262"/>
      <c r="CD507" s="262"/>
      <c r="CE507" s="262"/>
      <c r="CF507" s="262"/>
      <c r="CG507" s="262"/>
      <c r="CH507" s="262"/>
      <c r="CI507" s="262"/>
      <c r="CJ507" s="262"/>
      <c r="CK507" s="262"/>
      <c r="CL507" s="262"/>
      <c r="CM507" s="262"/>
      <c r="CN507" s="262"/>
      <c r="CO507" s="262"/>
      <c r="CP507" s="262"/>
      <c r="CQ507" s="262"/>
      <c r="CR507" s="262"/>
      <c r="CS507" s="262"/>
      <c r="CT507" s="262"/>
      <c r="CU507" s="262"/>
      <c r="CV507" s="262"/>
    </row>
    <row r="508" spans="33:100">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c r="BS508" s="262"/>
      <c r="BT508" s="262"/>
      <c r="BU508" s="262"/>
      <c r="BV508" s="262"/>
      <c r="BW508" s="262"/>
      <c r="BX508" s="262"/>
      <c r="BY508" s="262"/>
      <c r="BZ508" s="262"/>
      <c r="CA508" s="262"/>
      <c r="CB508" s="262"/>
      <c r="CC508" s="262"/>
      <c r="CD508" s="262"/>
      <c r="CE508" s="262"/>
      <c r="CF508" s="262"/>
      <c r="CG508" s="262"/>
      <c r="CH508" s="262"/>
      <c r="CI508" s="262"/>
      <c r="CJ508" s="262"/>
      <c r="CK508" s="262"/>
      <c r="CL508" s="262"/>
      <c r="CM508" s="262"/>
      <c r="CN508" s="262"/>
      <c r="CO508" s="262"/>
      <c r="CP508" s="262"/>
      <c r="CQ508" s="262"/>
      <c r="CR508" s="262"/>
      <c r="CS508" s="262"/>
      <c r="CT508" s="262"/>
      <c r="CU508" s="262"/>
      <c r="CV508" s="262"/>
    </row>
    <row r="509" spans="33:100">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c r="BS509" s="262"/>
      <c r="BT509" s="262"/>
      <c r="BU509" s="262"/>
      <c r="BV509" s="262"/>
      <c r="BW509" s="262"/>
      <c r="BX509" s="262"/>
      <c r="BY509" s="262"/>
      <c r="BZ509" s="262"/>
      <c r="CA509" s="262"/>
      <c r="CB509" s="262"/>
      <c r="CC509" s="262"/>
      <c r="CD509" s="262"/>
      <c r="CE509" s="262"/>
      <c r="CF509" s="262"/>
      <c r="CG509" s="262"/>
      <c r="CH509" s="262"/>
      <c r="CI509" s="262"/>
      <c r="CJ509" s="262"/>
      <c r="CK509" s="262"/>
      <c r="CL509" s="262"/>
      <c r="CM509" s="262"/>
      <c r="CN509" s="262"/>
      <c r="CO509" s="262"/>
      <c r="CP509" s="262"/>
      <c r="CQ509" s="262"/>
      <c r="CR509" s="262"/>
      <c r="CS509" s="262"/>
      <c r="CT509" s="262"/>
      <c r="CU509" s="262"/>
      <c r="CV509" s="262"/>
    </row>
    <row r="510" spans="33:100">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c r="BS510" s="262"/>
      <c r="BT510" s="262"/>
      <c r="BU510" s="262"/>
      <c r="BV510" s="262"/>
      <c r="BW510" s="262"/>
      <c r="BX510" s="262"/>
      <c r="BY510" s="262"/>
      <c r="BZ510" s="262"/>
      <c r="CA510" s="262"/>
      <c r="CB510" s="262"/>
      <c r="CC510" s="262"/>
      <c r="CD510" s="262"/>
      <c r="CE510" s="262"/>
      <c r="CF510" s="262"/>
      <c r="CG510" s="262"/>
      <c r="CH510" s="262"/>
      <c r="CI510" s="262"/>
      <c r="CJ510" s="262"/>
      <c r="CK510" s="262"/>
      <c r="CL510" s="262"/>
      <c r="CM510" s="262"/>
      <c r="CN510" s="262"/>
      <c r="CO510" s="262"/>
      <c r="CP510" s="262"/>
      <c r="CQ510" s="262"/>
      <c r="CR510" s="262"/>
      <c r="CS510" s="262"/>
      <c r="CT510" s="262"/>
      <c r="CU510" s="262"/>
      <c r="CV510" s="262"/>
    </row>
    <row r="511" spans="33:100">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c r="BS511" s="262"/>
      <c r="BT511" s="262"/>
      <c r="BU511" s="262"/>
      <c r="BV511" s="262"/>
      <c r="BW511" s="262"/>
      <c r="BX511" s="262"/>
      <c r="BY511" s="262"/>
      <c r="BZ511" s="262"/>
      <c r="CA511" s="262"/>
      <c r="CB511" s="262"/>
      <c r="CC511" s="262"/>
      <c r="CD511" s="262"/>
      <c r="CE511" s="262"/>
      <c r="CF511" s="262"/>
      <c r="CG511" s="262"/>
      <c r="CH511" s="262"/>
      <c r="CI511" s="262"/>
      <c r="CJ511" s="262"/>
      <c r="CK511" s="262"/>
      <c r="CL511" s="262"/>
      <c r="CM511" s="262"/>
      <c r="CN511" s="262"/>
      <c r="CO511" s="262"/>
      <c r="CP511" s="262"/>
      <c r="CQ511" s="262"/>
      <c r="CR511" s="262"/>
      <c r="CS511" s="262"/>
      <c r="CT511" s="262"/>
      <c r="CU511" s="262"/>
      <c r="CV511" s="262"/>
    </row>
    <row r="512" spans="33:100">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c r="BS512" s="262"/>
      <c r="BT512" s="262"/>
      <c r="BU512" s="262"/>
      <c r="BV512" s="262"/>
      <c r="BW512" s="262"/>
      <c r="BX512" s="262"/>
      <c r="BY512" s="262"/>
      <c r="BZ512" s="262"/>
      <c r="CA512" s="262"/>
      <c r="CB512" s="262"/>
      <c r="CC512" s="262"/>
      <c r="CD512" s="262"/>
      <c r="CE512" s="262"/>
      <c r="CF512" s="262"/>
      <c r="CG512" s="262"/>
      <c r="CH512" s="262"/>
      <c r="CI512" s="262"/>
      <c r="CJ512" s="262"/>
      <c r="CK512" s="262"/>
      <c r="CL512" s="262"/>
      <c r="CM512" s="262"/>
      <c r="CN512" s="262"/>
      <c r="CO512" s="262"/>
      <c r="CP512" s="262"/>
      <c r="CQ512" s="262"/>
      <c r="CR512" s="262"/>
      <c r="CS512" s="262"/>
      <c r="CT512" s="262"/>
      <c r="CU512" s="262"/>
      <c r="CV512" s="262"/>
    </row>
    <row r="513" spans="33:100">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c r="BS513" s="262"/>
      <c r="BT513" s="262"/>
      <c r="BU513" s="262"/>
      <c r="BV513" s="262"/>
      <c r="BW513" s="262"/>
      <c r="BX513" s="262"/>
      <c r="BY513" s="262"/>
      <c r="BZ513" s="262"/>
      <c r="CA513" s="262"/>
      <c r="CB513" s="262"/>
      <c r="CC513" s="262"/>
      <c r="CD513" s="262"/>
      <c r="CE513" s="262"/>
      <c r="CF513" s="262"/>
      <c r="CG513" s="262"/>
      <c r="CH513" s="262"/>
      <c r="CI513" s="262"/>
      <c r="CJ513" s="262"/>
      <c r="CK513" s="262"/>
      <c r="CL513" s="262"/>
      <c r="CM513" s="262"/>
      <c r="CN513" s="262"/>
      <c r="CO513" s="262"/>
      <c r="CP513" s="262"/>
      <c r="CQ513" s="262"/>
      <c r="CR513" s="262"/>
      <c r="CS513" s="262"/>
      <c r="CT513" s="262"/>
      <c r="CU513" s="262"/>
      <c r="CV513" s="262"/>
    </row>
    <row r="514" spans="33:100">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c r="BS514" s="262"/>
      <c r="BT514" s="262"/>
      <c r="BU514" s="262"/>
      <c r="BV514" s="262"/>
      <c r="BW514" s="262"/>
      <c r="BX514" s="262"/>
      <c r="BY514" s="262"/>
      <c r="BZ514" s="262"/>
      <c r="CA514" s="262"/>
      <c r="CB514" s="262"/>
      <c r="CC514" s="262"/>
      <c r="CD514" s="262"/>
      <c r="CE514" s="262"/>
      <c r="CF514" s="262"/>
      <c r="CG514" s="262"/>
      <c r="CH514" s="262"/>
      <c r="CI514" s="262"/>
      <c r="CJ514" s="262"/>
      <c r="CK514" s="262"/>
      <c r="CL514" s="262"/>
      <c r="CM514" s="262"/>
      <c r="CN514" s="262"/>
      <c r="CO514" s="262"/>
      <c r="CP514" s="262"/>
      <c r="CQ514" s="262"/>
      <c r="CR514" s="262"/>
      <c r="CS514" s="262"/>
      <c r="CT514" s="262"/>
      <c r="CU514" s="262"/>
      <c r="CV514" s="262"/>
    </row>
    <row r="515" spans="33:100">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c r="BS515" s="262"/>
      <c r="BT515" s="262"/>
      <c r="BU515" s="262"/>
      <c r="BV515" s="262"/>
      <c r="BW515" s="262"/>
      <c r="BX515" s="262"/>
      <c r="BY515" s="262"/>
      <c r="BZ515" s="262"/>
      <c r="CA515" s="262"/>
      <c r="CB515" s="262"/>
      <c r="CC515" s="262"/>
      <c r="CD515" s="262"/>
      <c r="CE515" s="262"/>
      <c r="CF515" s="262"/>
      <c r="CG515" s="262"/>
      <c r="CH515" s="262"/>
      <c r="CI515" s="262"/>
      <c r="CJ515" s="262"/>
      <c r="CK515" s="262"/>
      <c r="CL515" s="262"/>
      <c r="CM515" s="262"/>
      <c r="CN515" s="262"/>
      <c r="CO515" s="262"/>
      <c r="CP515" s="262"/>
      <c r="CQ515" s="262"/>
      <c r="CR515" s="262"/>
      <c r="CS515" s="262"/>
      <c r="CT515" s="262"/>
      <c r="CU515" s="262"/>
      <c r="CV515" s="262"/>
    </row>
    <row r="516" spans="33:100">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c r="BS516" s="262"/>
      <c r="BT516" s="262"/>
      <c r="BU516" s="262"/>
      <c r="BV516" s="262"/>
      <c r="BW516" s="262"/>
      <c r="BX516" s="262"/>
      <c r="BY516" s="262"/>
      <c r="BZ516" s="262"/>
      <c r="CA516" s="262"/>
      <c r="CB516" s="262"/>
      <c r="CC516" s="262"/>
      <c r="CD516" s="262"/>
      <c r="CE516" s="262"/>
      <c r="CF516" s="262"/>
      <c r="CG516" s="262"/>
      <c r="CH516" s="262"/>
      <c r="CI516" s="262"/>
      <c r="CJ516" s="262"/>
      <c r="CK516" s="262"/>
      <c r="CL516" s="262"/>
      <c r="CM516" s="262"/>
      <c r="CN516" s="262"/>
      <c r="CO516" s="262"/>
      <c r="CP516" s="262"/>
      <c r="CQ516" s="262"/>
      <c r="CR516" s="262"/>
      <c r="CS516" s="262"/>
      <c r="CT516" s="262"/>
      <c r="CU516" s="262"/>
      <c r="CV516" s="262"/>
    </row>
    <row r="517" spans="33:100">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c r="BS517" s="262"/>
      <c r="BT517" s="262"/>
      <c r="BU517" s="262"/>
      <c r="BV517" s="262"/>
      <c r="BW517" s="262"/>
      <c r="BX517" s="262"/>
      <c r="BY517" s="262"/>
      <c r="BZ517" s="262"/>
      <c r="CA517" s="262"/>
      <c r="CB517" s="262"/>
      <c r="CC517" s="262"/>
      <c r="CD517" s="262"/>
      <c r="CE517" s="262"/>
      <c r="CF517" s="262"/>
      <c r="CG517" s="262"/>
      <c r="CH517" s="262"/>
      <c r="CI517" s="262"/>
      <c r="CJ517" s="262"/>
      <c r="CK517" s="262"/>
      <c r="CL517" s="262"/>
      <c r="CM517" s="262"/>
      <c r="CN517" s="262"/>
      <c r="CO517" s="262"/>
      <c r="CP517" s="262"/>
      <c r="CQ517" s="262"/>
      <c r="CR517" s="262"/>
      <c r="CS517" s="262"/>
      <c r="CT517" s="262"/>
      <c r="CU517" s="262"/>
      <c r="CV517" s="262"/>
    </row>
    <row r="518" spans="33:100">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c r="BS518" s="262"/>
      <c r="BT518" s="262"/>
      <c r="BU518" s="262"/>
      <c r="BV518" s="262"/>
      <c r="BW518" s="262"/>
      <c r="BX518" s="262"/>
      <c r="BY518" s="262"/>
      <c r="BZ518" s="262"/>
      <c r="CA518" s="262"/>
      <c r="CB518" s="262"/>
      <c r="CC518" s="262"/>
      <c r="CD518" s="262"/>
      <c r="CE518" s="262"/>
      <c r="CF518" s="262"/>
      <c r="CG518" s="262"/>
      <c r="CH518" s="262"/>
      <c r="CI518" s="262"/>
      <c r="CJ518" s="262"/>
      <c r="CK518" s="262"/>
      <c r="CL518" s="262"/>
      <c r="CM518" s="262"/>
      <c r="CN518" s="262"/>
      <c r="CO518" s="262"/>
      <c r="CP518" s="262"/>
      <c r="CQ518" s="262"/>
      <c r="CR518" s="262"/>
      <c r="CS518" s="262"/>
      <c r="CT518" s="262"/>
      <c r="CU518" s="262"/>
      <c r="CV518" s="262"/>
    </row>
    <row r="519" spans="33:100">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c r="BS519" s="262"/>
      <c r="BT519" s="262"/>
      <c r="BU519" s="262"/>
      <c r="BV519" s="262"/>
      <c r="BW519" s="262"/>
      <c r="BX519" s="262"/>
      <c r="BY519" s="262"/>
      <c r="BZ519" s="262"/>
      <c r="CA519" s="262"/>
      <c r="CB519" s="262"/>
      <c r="CC519" s="262"/>
      <c r="CD519" s="262"/>
      <c r="CE519" s="262"/>
      <c r="CF519" s="262"/>
      <c r="CG519" s="262"/>
      <c r="CH519" s="262"/>
      <c r="CI519" s="262"/>
      <c r="CJ519" s="262"/>
      <c r="CK519" s="262"/>
      <c r="CL519" s="262"/>
      <c r="CM519" s="262"/>
      <c r="CN519" s="262"/>
      <c r="CO519" s="262"/>
      <c r="CP519" s="262"/>
      <c r="CQ519" s="262"/>
      <c r="CR519" s="262"/>
      <c r="CS519" s="262"/>
      <c r="CT519" s="262"/>
      <c r="CU519" s="262"/>
      <c r="CV519" s="262"/>
    </row>
    <row r="520" spans="33:100">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c r="BS520" s="262"/>
      <c r="BT520" s="262"/>
      <c r="BU520" s="262"/>
      <c r="BV520" s="262"/>
      <c r="BW520" s="262"/>
      <c r="BX520" s="262"/>
      <c r="BY520" s="262"/>
      <c r="BZ520" s="262"/>
      <c r="CA520" s="262"/>
      <c r="CB520" s="262"/>
      <c r="CC520" s="262"/>
      <c r="CD520" s="262"/>
      <c r="CE520" s="262"/>
      <c r="CF520" s="262"/>
      <c r="CG520" s="262"/>
      <c r="CH520" s="262"/>
      <c r="CI520" s="262"/>
      <c r="CJ520" s="262"/>
      <c r="CK520" s="262"/>
      <c r="CL520" s="262"/>
      <c r="CM520" s="262"/>
      <c r="CN520" s="262"/>
      <c r="CO520" s="262"/>
      <c r="CP520" s="262"/>
      <c r="CQ520" s="262"/>
      <c r="CR520" s="262"/>
      <c r="CS520" s="262"/>
      <c r="CT520" s="262"/>
      <c r="CU520" s="262"/>
      <c r="CV520" s="262"/>
    </row>
    <row r="521" spans="33:100">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c r="BS521" s="262"/>
      <c r="BT521" s="262"/>
      <c r="BU521" s="262"/>
      <c r="BV521" s="262"/>
      <c r="BW521" s="262"/>
      <c r="BX521" s="262"/>
      <c r="BY521" s="262"/>
      <c r="BZ521" s="262"/>
      <c r="CA521" s="262"/>
      <c r="CB521" s="262"/>
      <c r="CC521" s="262"/>
      <c r="CD521" s="262"/>
      <c r="CE521" s="262"/>
      <c r="CF521" s="262"/>
      <c r="CG521" s="262"/>
      <c r="CH521" s="262"/>
      <c r="CI521" s="262"/>
      <c r="CJ521" s="262"/>
      <c r="CK521" s="262"/>
      <c r="CL521" s="262"/>
      <c r="CM521" s="262"/>
      <c r="CN521" s="262"/>
      <c r="CO521" s="262"/>
      <c r="CP521" s="262"/>
      <c r="CQ521" s="262"/>
      <c r="CR521" s="262"/>
      <c r="CS521" s="262"/>
      <c r="CT521" s="262"/>
      <c r="CU521" s="262"/>
      <c r="CV521" s="262"/>
    </row>
    <row r="522" spans="33:100">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c r="BS522" s="262"/>
      <c r="BT522" s="262"/>
      <c r="BU522" s="262"/>
      <c r="BV522" s="262"/>
      <c r="BW522" s="262"/>
      <c r="BX522" s="262"/>
      <c r="BY522" s="262"/>
      <c r="BZ522" s="262"/>
      <c r="CA522" s="262"/>
      <c r="CB522" s="262"/>
      <c r="CC522" s="262"/>
      <c r="CD522" s="262"/>
      <c r="CE522" s="262"/>
      <c r="CF522" s="262"/>
      <c r="CG522" s="262"/>
      <c r="CH522" s="262"/>
      <c r="CI522" s="262"/>
      <c r="CJ522" s="262"/>
      <c r="CK522" s="262"/>
      <c r="CL522" s="262"/>
      <c r="CM522" s="262"/>
      <c r="CN522" s="262"/>
      <c r="CO522" s="262"/>
      <c r="CP522" s="262"/>
      <c r="CQ522" s="262"/>
      <c r="CR522" s="262"/>
      <c r="CS522" s="262"/>
      <c r="CT522" s="262"/>
      <c r="CU522" s="262"/>
      <c r="CV522" s="262"/>
    </row>
    <row r="523" spans="33:100">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c r="BS523" s="262"/>
      <c r="BT523" s="262"/>
      <c r="BU523" s="262"/>
      <c r="BV523" s="262"/>
      <c r="BW523" s="262"/>
      <c r="BX523" s="262"/>
      <c r="BY523" s="262"/>
      <c r="BZ523" s="262"/>
      <c r="CA523" s="262"/>
      <c r="CB523" s="262"/>
      <c r="CC523" s="262"/>
      <c r="CD523" s="262"/>
      <c r="CE523" s="262"/>
      <c r="CF523" s="262"/>
      <c r="CG523" s="262"/>
      <c r="CH523" s="262"/>
      <c r="CI523" s="262"/>
      <c r="CJ523" s="262"/>
      <c r="CK523" s="262"/>
      <c r="CL523" s="262"/>
      <c r="CM523" s="262"/>
      <c r="CN523" s="262"/>
      <c r="CO523" s="262"/>
      <c r="CP523" s="262"/>
      <c r="CQ523" s="262"/>
      <c r="CR523" s="262"/>
      <c r="CS523" s="262"/>
      <c r="CT523" s="262"/>
      <c r="CU523" s="262"/>
      <c r="CV523" s="262"/>
    </row>
    <row r="524" spans="33:100">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c r="BS524" s="262"/>
      <c r="BT524" s="262"/>
      <c r="BU524" s="262"/>
      <c r="BV524" s="262"/>
      <c r="BW524" s="262"/>
      <c r="BX524" s="262"/>
      <c r="BY524" s="262"/>
      <c r="BZ524" s="262"/>
      <c r="CA524" s="262"/>
      <c r="CB524" s="262"/>
      <c r="CC524" s="262"/>
      <c r="CD524" s="262"/>
      <c r="CE524" s="262"/>
      <c r="CF524" s="262"/>
      <c r="CG524" s="262"/>
      <c r="CH524" s="262"/>
      <c r="CI524" s="262"/>
      <c r="CJ524" s="262"/>
      <c r="CK524" s="262"/>
      <c r="CL524" s="262"/>
      <c r="CM524" s="262"/>
      <c r="CN524" s="262"/>
      <c r="CO524" s="262"/>
      <c r="CP524" s="262"/>
      <c r="CQ524" s="262"/>
      <c r="CR524" s="262"/>
      <c r="CS524" s="262"/>
      <c r="CT524" s="262"/>
      <c r="CU524" s="262"/>
      <c r="CV524" s="262"/>
    </row>
    <row r="525" spans="33:100">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c r="BS525" s="262"/>
      <c r="BT525" s="262"/>
      <c r="BU525" s="262"/>
      <c r="BV525" s="262"/>
      <c r="BW525" s="262"/>
      <c r="BX525" s="262"/>
      <c r="BY525" s="262"/>
      <c r="BZ525" s="262"/>
      <c r="CA525" s="262"/>
      <c r="CB525" s="262"/>
      <c r="CC525" s="262"/>
      <c r="CD525" s="262"/>
      <c r="CE525" s="262"/>
      <c r="CF525" s="262"/>
      <c r="CG525" s="262"/>
      <c r="CH525" s="262"/>
      <c r="CI525" s="262"/>
      <c r="CJ525" s="262"/>
      <c r="CK525" s="262"/>
      <c r="CL525" s="262"/>
      <c r="CM525" s="262"/>
      <c r="CN525" s="262"/>
      <c r="CO525" s="262"/>
      <c r="CP525" s="262"/>
      <c r="CQ525" s="262"/>
      <c r="CR525" s="262"/>
      <c r="CS525" s="262"/>
      <c r="CT525" s="262"/>
      <c r="CU525" s="262"/>
      <c r="CV525" s="262"/>
    </row>
    <row r="526" spans="33:100">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c r="BS526" s="262"/>
      <c r="BT526" s="262"/>
      <c r="BU526" s="262"/>
      <c r="BV526" s="262"/>
      <c r="BW526" s="262"/>
      <c r="BX526" s="262"/>
      <c r="BY526" s="262"/>
      <c r="BZ526" s="262"/>
      <c r="CA526" s="262"/>
      <c r="CB526" s="262"/>
      <c r="CC526" s="262"/>
      <c r="CD526" s="262"/>
      <c r="CE526" s="262"/>
      <c r="CF526" s="262"/>
      <c r="CG526" s="262"/>
      <c r="CH526" s="262"/>
      <c r="CI526" s="262"/>
      <c r="CJ526" s="262"/>
      <c r="CK526" s="262"/>
      <c r="CL526" s="262"/>
      <c r="CM526" s="262"/>
      <c r="CN526" s="262"/>
      <c r="CO526" s="262"/>
      <c r="CP526" s="262"/>
      <c r="CQ526" s="262"/>
      <c r="CR526" s="262"/>
      <c r="CS526" s="262"/>
      <c r="CT526" s="262"/>
      <c r="CU526" s="262"/>
      <c r="CV526" s="262"/>
    </row>
    <row r="527" spans="33:100">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c r="BS527" s="262"/>
      <c r="BT527" s="262"/>
      <c r="BU527" s="262"/>
      <c r="BV527" s="262"/>
      <c r="BW527" s="262"/>
      <c r="BX527" s="262"/>
      <c r="BY527" s="262"/>
      <c r="BZ527" s="262"/>
      <c r="CA527" s="262"/>
      <c r="CB527" s="262"/>
      <c r="CC527" s="262"/>
      <c r="CD527" s="262"/>
      <c r="CE527" s="262"/>
      <c r="CF527" s="262"/>
      <c r="CG527" s="262"/>
      <c r="CH527" s="262"/>
      <c r="CI527" s="262"/>
      <c r="CJ527" s="262"/>
      <c r="CK527" s="262"/>
      <c r="CL527" s="262"/>
      <c r="CM527" s="262"/>
      <c r="CN527" s="262"/>
      <c r="CO527" s="262"/>
      <c r="CP527" s="262"/>
      <c r="CQ527" s="262"/>
      <c r="CR527" s="262"/>
      <c r="CS527" s="262"/>
      <c r="CT527" s="262"/>
      <c r="CU527" s="262"/>
      <c r="CV527" s="262"/>
    </row>
    <row r="528" spans="33:100">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c r="BS528" s="262"/>
      <c r="BT528" s="262"/>
      <c r="BU528" s="262"/>
      <c r="BV528" s="262"/>
      <c r="BW528" s="262"/>
      <c r="BX528" s="262"/>
      <c r="BY528" s="262"/>
      <c r="BZ528" s="262"/>
      <c r="CA528" s="262"/>
      <c r="CB528" s="262"/>
      <c r="CC528" s="262"/>
      <c r="CD528" s="262"/>
      <c r="CE528" s="262"/>
      <c r="CF528" s="262"/>
      <c r="CG528" s="262"/>
      <c r="CH528" s="262"/>
      <c r="CI528" s="262"/>
      <c r="CJ528" s="262"/>
      <c r="CK528" s="262"/>
      <c r="CL528" s="262"/>
      <c r="CM528" s="262"/>
      <c r="CN528" s="262"/>
      <c r="CO528" s="262"/>
      <c r="CP528" s="262"/>
      <c r="CQ528" s="262"/>
      <c r="CR528" s="262"/>
      <c r="CS528" s="262"/>
      <c r="CT528" s="262"/>
      <c r="CU528" s="262"/>
      <c r="CV528" s="262"/>
    </row>
    <row r="529" spans="33:100">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c r="BS529" s="262"/>
      <c r="BT529" s="262"/>
      <c r="BU529" s="262"/>
      <c r="BV529" s="262"/>
      <c r="BW529" s="262"/>
      <c r="BX529" s="262"/>
      <c r="BY529" s="262"/>
      <c r="BZ529" s="262"/>
      <c r="CA529" s="262"/>
      <c r="CB529" s="262"/>
      <c r="CC529" s="262"/>
      <c r="CD529" s="262"/>
      <c r="CE529" s="262"/>
      <c r="CF529" s="262"/>
      <c r="CG529" s="262"/>
      <c r="CH529" s="262"/>
      <c r="CI529" s="262"/>
      <c r="CJ529" s="262"/>
      <c r="CK529" s="262"/>
      <c r="CL529" s="262"/>
      <c r="CM529" s="262"/>
      <c r="CN529" s="262"/>
      <c r="CO529" s="262"/>
      <c r="CP529" s="262"/>
      <c r="CQ529" s="262"/>
      <c r="CR529" s="262"/>
      <c r="CS529" s="262"/>
      <c r="CT529" s="262"/>
      <c r="CU529" s="262"/>
      <c r="CV529" s="262"/>
    </row>
    <row r="530" spans="33:100">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c r="BS530" s="262"/>
      <c r="BT530" s="262"/>
      <c r="BU530" s="262"/>
      <c r="BV530" s="262"/>
      <c r="BW530" s="262"/>
      <c r="BX530" s="262"/>
      <c r="BY530" s="262"/>
      <c r="BZ530" s="262"/>
      <c r="CA530" s="262"/>
      <c r="CB530" s="262"/>
      <c r="CC530" s="262"/>
      <c r="CD530" s="262"/>
      <c r="CE530" s="262"/>
      <c r="CF530" s="262"/>
      <c r="CG530" s="262"/>
      <c r="CH530" s="262"/>
      <c r="CI530" s="262"/>
      <c r="CJ530" s="262"/>
      <c r="CK530" s="262"/>
      <c r="CL530" s="262"/>
      <c r="CM530" s="262"/>
      <c r="CN530" s="262"/>
      <c r="CO530" s="262"/>
      <c r="CP530" s="262"/>
      <c r="CQ530" s="262"/>
      <c r="CR530" s="262"/>
      <c r="CS530" s="262"/>
      <c r="CT530" s="262"/>
      <c r="CU530" s="262"/>
      <c r="CV530" s="262"/>
    </row>
    <row r="531" spans="33:100">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c r="BS531" s="262"/>
      <c r="BT531" s="262"/>
      <c r="BU531" s="262"/>
      <c r="BV531" s="262"/>
      <c r="BW531" s="262"/>
      <c r="BX531" s="262"/>
      <c r="BY531" s="262"/>
      <c r="BZ531" s="262"/>
      <c r="CA531" s="262"/>
      <c r="CB531" s="262"/>
      <c r="CC531" s="262"/>
      <c r="CD531" s="262"/>
      <c r="CE531" s="262"/>
      <c r="CF531" s="262"/>
      <c r="CG531" s="262"/>
      <c r="CH531" s="262"/>
      <c r="CI531" s="262"/>
      <c r="CJ531" s="262"/>
      <c r="CK531" s="262"/>
      <c r="CL531" s="262"/>
      <c r="CM531" s="262"/>
      <c r="CN531" s="262"/>
      <c r="CO531" s="262"/>
      <c r="CP531" s="262"/>
      <c r="CQ531" s="262"/>
      <c r="CR531" s="262"/>
      <c r="CS531" s="262"/>
      <c r="CT531" s="262"/>
      <c r="CU531" s="262"/>
      <c r="CV531" s="262"/>
    </row>
    <row r="532" spans="33:100">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c r="BS532" s="262"/>
      <c r="BT532" s="262"/>
      <c r="BU532" s="262"/>
      <c r="BV532" s="262"/>
      <c r="BW532" s="262"/>
      <c r="BX532" s="262"/>
      <c r="BY532" s="262"/>
      <c r="BZ532" s="262"/>
      <c r="CA532" s="262"/>
      <c r="CB532" s="262"/>
      <c r="CC532" s="262"/>
      <c r="CD532" s="262"/>
      <c r="CE532" s="262"/>
      <c r="CF532" s="262"/>
      <c r="CG532" s="262"/>
      <c r="CH532" s="262"/>
      <c r="CI532" s="262"/>
      <c r="CJ532" s="262"/>
      <c r="CK532" s="262"/>
      <c r="CL532" s="262"/>
      <c r="CM532" s="262"/>
      <c r="CN532" s="262"/>
      <c r="CO532" s="262"/>
      <c r="CP532" s="262"/>
      <c r="CQ532" s="262"/>
      <c r="CR532" s="262"/>
      <c r="CS532" s="262"/>
      <c r="CT532" s="262"/>
      <c r="CU532" s="262"/>
      <c r="CV532" s="262"/>
    </row>
    <row r="533" spans="33:100">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c r="BS533" s="262"/>
      <c r="BT533" s="262"/>
      <c r="BU533" s="262"/>
      <c r="BV533" s="262"/>
      <c r="BW533" s="262"/>
      <c r="BX533" s="262"/>
      <c r="BY533" s="262"/>
      <c r="BZ533" s="262"/>
      <c r="CA533" s="262"/>
      <c r="CB533" s="262"/>
      <c r="CC533" s="262"/>
      <c r="CD533" s="262"/>
      <c r="CE533" s="262"/>
      <c r="CF533" s="262"/>
      <c r="CG533" s="262"/>
      <c r="CH533" s="262"/>
      <c r="CI533" s="262"/>
      <c r="CJ533" s="262"/>
      <c r="CK533" s="262"/>
      <c r="CL533" s="262"/>
      <c r="CM533" s="262"/>
      <c r="CN533" s="262"/>
      <c r="CO533" s="262"/>
      <c r="CP533" s="262"/>
      <c r="CQ533" s="262"/>
      <c r="CR533" s="262"/>
      <c r="CS533" s="262"/>
      <c r="CT533" s="262"/>
      <c r="CU533" s="262"/>
      <c r="CV533" s="262"/>
    </row>
    <row r="534" spans="33:100">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c r="BS534" s="262"/>
      <c r="BT534" s="262"/>
      <c r="BU534" s="262"/>
      <c r="BV534" s="262"/>
      <c r="BW534" s="262"/>
      <c r="BX534" s="262"/>
      <c r="BY534" s="262"/>
      <c r="BZ534" s="262"/>
      <c r="CA534" s="262"/>
      <c r="CB534" s="262"/>
      <c r="CC534" s="262"/>
      <c r="CD534" s="262"/>
      <c r="CE534" s="262"/>
      <c r="CF534" s="262"/>
      <c r="CG534" s="262"/>
      <c r="CH534" s="262"/>
      <c r="CI534" s="262"/>
      <c r="CJ534" s="262"/>
      <c r="CK534" s="262"/>
      <c r="CL534" s="262"/>
      <c r="CM534" s="262"/>
      <c r="CN534" s="262"/>
      <c r="CO534" s="262"/>
      <c r="CP534" s="262"/>
      <c r="CQ534" s="262"/>
      <c r="CR534" s="262"/>
      <c r="CS534" s="262"/>
      <c r="CT534" s="262"/>
      <c r="CU534" s="262"/>
      <c r="CV534" s="262"/>
    </row>
    <row r="535" spans="33:100">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c r="BS535" s="262"/>
      <c r="BT535" s="262"/>
      <c r="BU535" s="262"/>
      <c r="BV535" s="262"/>
      <c r="BW535" s="262"/>
      <c r="BX535" s="262"/>
      <c r="BY535" s="262"/>
      <c r="BZ535" s="262"/>
      <c r="CA535" s="262"/>
      <c r="CB535" s="262"/>
      <c r="CC535" s="262"/>
      <c r="CD535" s="262"/>
      <c r="CE535" s="262"/>
      <c r="CF535" s="262"/>
      <c r="CG535" s="262"/>
      <c r="CH535" s="262"/>
      <c r="CI535" s="262"/>
      <c r="CJ535" s="262"/>
      <c r="CK535" s="262"/>
      <c r="CL535" s="262"/>
      <c r="CM535" s="262"/>
      <c r="CN535" s="262"/>
      <c r="CO535" s="262"/>
      <c r="CP535" s="262"/>
      <c r="CQ535" s="262"/>
      <c r="CR535" s="262"/>
      <c r="CS535" s="262"/>
      <c r="CT535" s="262"/>
      <c r="CU535" s="262"/>
      <c r="CV535" s="262"/>
    </row>
    <row r="536" spans="33:100">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c r="BS536" s="262"/>
      <c r="BT536" s="262"/>
      <c r="BU536" s="262"/>
      <c r="BV536" s="262"/>
      <c r="BW536" s="262"/>
      <c r="BX536" s="262"/>
      <c r="BY536" s="262"/>
      <c r="BZ536" s="262"/>
      <c r="CA536" s="262"/>
      <c r="CB536" s="262"/>
      <c r="CC536" s="262"/>
      <c r="CD536" s="262"/>
      <c r="CE536" s="262"/>
      <c r="CF536" s="262"/>
      <c r="CG536" s="262"/>
      <c r="CH536" s="262"/>
      <c r="CI536" s="262"/>
      <c r="CJ536" s="262"/>
      <c r="CK536" s="262"/>
      <c r="CL536" s="262"/>
      <c r="CM536" s="262"/>
      <c r="CN536" s="262"/>
      <c r="CO536" s="262"/>
      <c r="CP536" s="262"/>
      <c r="CQ536" s="262"/>
      <c r="CR536" s="262"/>
      <c r="CS536" s="262"/>
      <c r="CT536" s="262"/>
      <c r="CU536" s="262"/>
      <c r="CV536" s="262"/>
    </row>
    <row r="537" spans="33:100">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c r="BS537" s="262"/>
      <c r="BT537" s="262"/>
      <c r="BU537" s="262"/>
      <c r="BV537" s="262"/>
      <c r="BW537" s="262"/>
      <c r="BX537" s="262"/>
      <c r="BY537" s="262"/>
      <c r="BZ537" s="262"/>
      <c r="CA537" s="262"/>
      <c r="CB537" s="262"/>
      <c r="CC537" s="262"/>
      <c r="CD537" s="262"/>
      <c r="CE537" s="262"/>
      <c r="CF537" s="262"/>
      <c r="CG537" s="262"/>
      <c r="CH537" s="262"/>
      <c r="CI537" s="262"/>
      <c r="CJ537" s="262"/>
      <c r="CK537" s="262"/>
      <c r="CL537" s="262"/>
      <c r="CM537" s="262"/>
      <c r="CN537" s="262"/>
      <c r="CO537" s="262"/>
      <c r="CP537" s="262"/>
      <c r="CQ537" s="262"/>
      <c r="CR537" s="262"/>
      <c r="CS537" s="262"/>
      <c r="CT537" s="262"/>
      <c r="CU537" s="262"/>
      <c r="CV537" s="262"/>
    </row>
    <row r="538" spans="33:100">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c r="BS538" s="262"/>
      <c r="BT538" s="262"/>
      <c r="BU538" s="262"/>
      <c r="BV538" s="262"/>
      <c r="BW538" s="262"/>
      <c r="BX538" s="262"/>
      <c r="BY538" s="262"/>
      <c r="BZ538" s="262"/>
      <c r="CA538" s="262"/>
      <c r="CB538" s="262"/>
      <c r="CC538" s="262"/>
      <c r="CD538" s="262"/>
      <c r="CE538" s="262"/>
      <c r="CF538" s="262"/>
      <c r="CG538" s="262"/>
      <c r="CH538" s="262"/>
      <c r="CI538" s="262"/>
      <c r="CJ538" s="262"/>
      <c r="CK538" s="262"/>
      <c r="CL538" s="262"/>
      <c r="CM538" s="262"/>
      <c r="CN538" s="262"/>
      <c r="CO538" s="262"/>
      <c r="CP538" s="262"/>
      <c r="CQ538" s="262"/>
      <c r="CR538" s="262"/>
      <c r="CS538" s="262"/>
      <c r="CT538" s="262"/>
      <c r="CU538" s="262"/>
      <c r="CV538" s="262"/>
    </row>
    <row r="539" spans="33:100">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c r="BS539" s="262"/>
      <c r="BT539" s="262"/>
      <c r="BU539" s="262"/>
      <c r="BV539" s="262"/>
      <c r="BW539" s="262"/>
      <c r="BX539" s="262"/>
      <c r="BY539" s="262"/>
      <c r="BZ539" s="262"/>
      <c r="CA539" s="262"/>
      <c r="CB539" s="262"/>
      <c r="CC539" s="262"/>
      <c r="CD539" s="262"/>
      <c r="CE539" s="262"/>
      <c r="CF539" s="262"/>
      <c r="CG539" s="262"/>
      <c r="CH539" s="262"/>
      <c r="CI539" s="262"/>
      <c r="CJ539" s="262"/>
      <c r="CK539" s="262"/>
      <c r="CL539" s="262"/>
      <c r="CM539" s="262"/>
      <c r="CN539" s="262"/>
      <c r="CO539" s="262"/>
      <c r="CP539" s="262"/>
      <c r="CQ539" s="262"/>
      <c r="CR539" s="262"/>
      <c r="CS539" s="262"/>
      <c r="CT539" s="262"/>
      <c r="CU539" s="262"/>
      <c r="CV539" s="262"/>
    </row>
    <row r="540" spans="33:100">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c r="BS540" s="262"/>
      <c r="BT540" s="262"/>
      <c r="BU540" s="262"/>
      <c r="BV540" s="262"/>
      <c r="BW540" s="262"/>
      <c r="BX540" s="262"/>
      <c r="BY540" s="262"/>
      <c r="BZ540" s="262"/>
      <c r="CA540" s="262"/>
      <c r="CB540" s="262"/>
      <c r="CC540" s="262"/>
      <c r="CD540" s="262"/>
      <c r="CE540" s="262"/>
      <c r="CF540" s="262"/>
      <c r="CG540" s="262"/>
      <c r="CH540" s="262"/>
      <c r="CI540" s="262"/>
      <c r="CJ540" s="262"/>
      <c r="CK540" s="262"/>
      <c r="CL540" s="262"/>
      <c r="CM540" s="262"/>
      <c r="CN540" s="262"/>
      <c r="CO540" s="262"/>
      <c r="CP540" s="262"/>
      <c r="CQ540" s="262"/>
      <c r="CR540" s="262"/>
      <c r="CS540" s="262"/>
      <c r="CT540" s="262"/>
      <c r="CU540" s="262"/>
      <c r="CV540" s="262"/>
    </row>
    <row r="541" spans="33:100">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c r="BS541" s="262"/>
      <c r="BT541" s="262"/>
      <c r="BU541" s="262"/>
      <c r="BV541" s="262"/>
      <c r="BW541" s="262"/>
      <c r="BX541" s="262"/>
      <c r="BY541" s="262"/>
      <c r="BZ541" s="262"/>
      <c r="CA541" s="262"/>
      <c r="CB541" s="262"/>
      <c r="CC541" s="262"/>
      <c r="CD541" s="262"/>
      <c r="CE541" s="262"/>
      <c r="CF541" s="262"/>
      <c r="CG541" s="262"/>
      <c r="CH541" s="262"/>
      <c r="CI541" s="262"/>
      <c r="CJ541" s="262"/>
      <c r="CK541" s="262"/>
      <c r="CL541" s="262"/>
      <c r="CM541" s="262"/>
      <c r="CN541" s="262"/>
      <c r="CO541" s="262"/>
      <c r="CP541" s="262"/>
      <c r="CQ541" s="262"/>
      <c r="CR541" s="262"/>
      <c r="CS541" s="262"/>
      <c r="CT541" s="262"/>
      <c r="CU541" s="262"/>
      <c r="CV541" s="262"/>
    </row>
    <row r="542" spans="33:100">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c r="BS542" s="262"/>
      <c r="BT542" s="262"/>
      <c r="BU542" s="262"/>
      <c r="BV542" s="262"/>
      <c r="BW542" s="262"/>
      <c r="BX542" s="262"/>
      <c r="BY542" s="262"/>
      <c r="BZ542" s="262"/>
      <c r="CA542" s="262"/>
      <c r="CB542" s="262"/>
      <c r="CC542" s="262"/>
      <c r="CD542" s="262"/>
      <c r="CE542" s="262"/>
      <c r="CF542" s="262"/>
      <c r="CG542" s="262"/>
      <c r="CH542" s="262"/>
      <c r="CI542" s="262"/>
      <c r="CJ542" s="262"/>
      <c r="CK542" s="262"/>
      <c r="CL542" s="262"/>
      <c r="CM542" s="262"/>
      <c r="CN542" s="262"/>
      <c r="CO542" s="262"/>
      <c r="CP542" s="262"/>
      <c r="CQ542" s="262"/>
      <c r="CR542" s="262"/>
      <c r="CS542" s="262"/>
      <c r="CT542" s="262"/>
      <c r="CU542" s="262"/>
      <c r="CV542" s="262"/>
    </row>
    <row r="543" spans="33:100">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c r="BS543" s="262"/>
      <c r="BT543" s="262"/>
      <c r="BU543" s="262"/>
      <c r="BV543" s="262"/>
      <c r="BW543" s="262"/>
      <c r="BX543" s="262"/>
      <c r="BY543" s="262"/>
      <c r="BZ543" s="262"/>
      <c r="CA543" s="262"/>
      <c r="CB543" s="262"/>
      <c r="CC543" s="262"/>
      <c r="CD543" s="262"/>
      <c r="CE543" s="262"/>
      <c r="CF543" s="262"/>
      <c r="CG543" s="262"/>
      <c r="CH543" s="262"/>
      <c r="CI543" s="262"/>
      <c r="CJ543" s="262"/>
      <c r="CK543" s="262"/>
      <c r="CL543" s="262"/>
      <c r="CM543" s="262"/>
      <c r="CN543" s="262"/>
      <c r="CO543" s="262"/>
      <c r="CP543" s="262"/>
      <c r="CQ543" s="262"/>
      <c r="CR543" s="262"/>
      <c r="CS543" s="262"/>
      <c r="CT543" s="262"/>
      <c r="CU543" s="262"/>
      <c r="CV543" s="262"/>
    </row>
    <row r="544" spans="33:100">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c r="BS544" s="262"/>
      <c r="BT544" s="262"/>
      <c r="BU544" s="262"/>
      <c r="BV544" s="262"/>
      <c r="BW544" s="262"/>
      <c r="BX544" s="262"/>
      <c r="BY544" s="262"/>
      <c r="BZ544" s="262"/>
      <c r="CA544" s="262"/>
      <c r="CB544" s="262"/>
      <c r="CC544" s="262"/>
      <c r="CD544" s="262"/>
      <c r="CE544" s="262"/>
      <c r="CF544" s="262"/>
      <c r="CG544" s="262"/>
      <c r="CH544" s="262"/>
      <c r="CI544" s="262"/>
      <c r="CJ544" s="262"/>
      <c r="CK544" s="262"/>
      <c r="CL544" s="262"/>
      <c r="CM544" s="262"/>
      <c r="CN544" s="262"/>
      <c r="CO544" s="262"/>
      <c r="CP544" s="262"/>
      <c r="CQ544" s="262"/>
      <c r="CR544" s="262"/>
      <c r="CS544" s="262"/>
      <c r="CT544" s="262"/>
      <c r="CU544" s="262"/>
      <c r="CV544" s="262"/>
    </row>
    <row r="545" spans="33:100">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c r="BS545" s="262"/>
      <c r="BT545" s="262"/>
      <c r="BU545" s="262"/>
      <c r="BV545" s="262"/>
      <c r="BW545" s="262"/>
      <c r="BX545" s="262"/>
      <c r="BY545" s="262"/>
      <c r="BZ545" s="262"/>
      <c r="CA545" s="262"/>
      <c r="CB545" s="262"/>
      <c r="CC545" s="262"/>
      <c r="CD545" s="262"/>
      <c r="CE545" s="262"/>
      <c r="CF545" s="262"/>
      <c r="CG545" s="262"/>
      <c r="CH545" s="262"/>
      <c r="CI545" s="262"/>
      <c r="CJ545" s="262"/>
      <c r="CK545" s="262"/>
      <c r="CL545" s="262"/>
      <c r="CM545" s="262"/>
      <c r="CN545" s="262"/>
      <c r="CO545" s="262"/>
      <c r="CP545" s="262"/>
      <c r="CQ545" s="262"/>
      <c r="CR545" s="262"/>
      <c r="CS545" s="262"/>
      <c r="CT545" s="262"/>
      <c r="CU545" s="262"/>
      <c r="CV545" s="262"/>
    </row>
    <row r="546" spans="33:100">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c r="BS546" s="262"/>
      <c r="BT546" s="262"/>
      <c r="BU546" s="262"/>
      <c r="BV546" s="262"/>
      <c r="BW546" s="262"/>
      <c r="BX546" s="262"/>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c r="CU546" s="262"/>
      <c r="CV546" s="262"/>
    </row>
    <row r="547" spans="33:100">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c r="BS547" s="262"/>
      <c r="BT547" s="262"/>
      <c r="BU547" s="262"/>
      <c r="BV547" s="262"/>
      <c r="BW547" s="262"/>
      <c r="BX547" s="262"/>
      <c r="BY547" s="262"/>
      <c r="BZ547" s="262"/>
      <c r="CA547" s="262"/>
      <c r="CB547" s="262"/>
      <c r="CC547" s="262"/>
      <c r="CD547" s="262"/>
      <c r="CE547" s="262"/>
      <c r="CF547" s="262"/>
      <c r="CG547" s="262"/>
      <c r="CH547" s="262"/>
      <c r="CI547" s="262"/>
      <c r="CJ547" s="262"/>
      <c r="CK547" s="262"/>
      <c r="CL547" s="262"/>
      <c r="CM547" s="262"/>
      <c r="CN547" s="262"/>
      <c r="CO547" s="262"/>
      <c r="CP547" s="262"/>
      <c r="CQ547" s="262"/>
      <c r="CR547" s="262"/>
      <c r="CS547" s="262"/>
      <c r="CT547" s="262"/>
      <c r="CU547" s="262"/>
      <c r="CV547" s="262"/>
    </row>
    <row r="548" spans="33:100">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c r="BS548" s="262"/>
      <c r="BT548" s="262"/>
      <c r="BU548" s="262"/>
      <c r="BV548" s="262"/>
      <c r="BW548" s="262"/>
      <c r="BX548" s="262"/>
      <c r="BY548" s="262"/>
      <c r="BZ548" s="262"/>
      <c r="CA548" s="262"/>
      <c r="CB548" s="262"/>
      <c r="CC548" s="262"/>
      <c r="CD548" s="262"/>
      <c r="CE548" s="262"/>
      <c r="CF548" s="262"/>
      <c r="CG548" s="262"/>
      <c r="CH548" s="262"/>
      <c r="CI548" s="262"/>
      <c r="CJ548" s="262"/>
      <c r="CK548" s="262"/>
      <c r="CL548" s="262"/>
      <c r="CM548" s="262"/>
      <c r="CN548" s="262"/>
      <c r="CO548" s="262"/>
      <c r="CP548" s="262"/>
      <c r="CQ548" s="262"/>
      <c r="CR548" s="262"/>
      <c r="CS548" s="262"/>
      <c r="CT548" s="262"/>
      <c r="CU548" s="262"/>
      <c r="CV548" s="262"/>
    </row>
    <row r="549" spans="33:100">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c r="BS549" s="262"/>
      <c r="BT549" s="262"/>
      <c r="BU549" s="262"/>
      <c r="BV549" s="262"/>
      <c r="BW549" s="262"/>
      <c r="BX549" s="262"/>
      <c r="BY549" s="262"/>
      <c r="BZ549" s="262"/>
      <c r="CA549" s="262"/>
      <c r="CB549" s="262"/>
      <c r="CC549" s="262"/>
      <c r="CD549" s="262"/>
      <c r="CE549" s="262"/>
      <c r="CF549" s="262"/>
      <c r="CG549" s="262"/>
      <c r="CH549" s="262"/>
      <c r="CI549" s="262"/>
      <c r="CJ549" s="262"/>
      <c r="CK549" s="262"/>
      <c r="CL549" s="262"/>
      <c r="CM549" s="262"/>
      <c r="CN549" s="262"/>
      <c r="CO549" s="262"/>
      <c r="CP549" s="262"/>
      <c r="CQ549" s="262"/>
      <c r="CR549" s="262"/>
      <c r="CS549" s="262"/>
      <c r="CT549" s="262"/>
      <c r="CU549" s="262"/>
      <c r="CV549" s="262"/>
    </row>
    <row r="550" spans="33:100">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c r="BS550" s="262"/>
      <c r="BT550" s="262"/>
      <c r="BU550" s="262"/>
      <c r="BV550" s="262"/>
      <c r="BW550" s="262"/>
      <c r="BX550" s="262"/>
      <c r="BY550" s="262"/>
      <c r="BZ550" s="262"/>
      <c r="CA550" s="262"/>
      <c r="CB550" s="262"/>
      <c r="CC550" s="262"/>
      <c r="CD550" s="262"/>
      <c r="CE550" s="262"/>
      <c r="CF550" s="262"/>
      <c r="CG550" s="262"/>
      <c r="CH550" s="262"/>
      <c r="CI550" s="262"/>
      <c r="CJ550" s="262"/>
      <c r="CK550" s="262"/>
      <c r="CL550" s="262"/>
      <c r="CM550" s="262"/>
      <c r="CN550" s="262"/>
      <c r="CO550" s="262"/>
      <c r="CP550" s="262"/>
      <c r="CQ550" s="262"/>
      <c r="CR550" s="262"/>
      <c r="CS550" s="262"/>
      <c r="CT550" s="262"/>
      <c r="CU550" s="262"/>
      <c r="CV550" s="262"/>
    </row>
    <row r="551" spans="33:100">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c r="BS551" s="262"/>
      <c r="BT551" s="262"/>
      <c r="BU551" s="262"/>
      <c r="BV551" s="262"/>
      <c r="BW551" s="262"/>
      <c r="BX551" s="262"/>
      <c r="BY551" s="262"/>
      <c r="BZ551" s="262"/>
      <c r="CA551" s="262"/>
      <c r="CB551" s="262"/>
      <c r="CC551" s="262"/>
      <c r="CD551" s="262"/>
      <c r="CE551" s="262"/>
      <c r="CF551" s="262"/>
      <c r="CG551" s="262"/>
      <c r="CH551" s="262"/>
      <c r="CI551" s="262"/>
      <c r="CJ551" s="262"/>
      <c r="CK551" s="262"/>
      <c r="CL551" s="262"/>
      <c r="CM551" s="262"/>
      <c r="CN551" s="262"/>
      <c r="CO551" s="262"/>
      <c r="CP551" s="262"/>
      <c r="CQ551" s="262"/>
      <c r="CR551" s="262"/>
      <c r="CS551" s="262"/>
      <c r="CT551" s="262"/>
      <c r="CU551" s="262"/>
      <c r="CV551" s="262"/>
    </row>
    <row r="552" spans="33:100">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c r="BS552" s="262"/>
      <c r="BT552" s="262"/>
      <c r="BU552" s="262"/>
      <c r="BV552" s="262"/>
      <c r="BW552" s="262"/>
      <c r="BX552" s="262"/>
      <c r="BY552" s="262"/>
      <c r="BZ552" s="262"/>
      <c r="CA552" s="262"/>
      <c r="CB552" s="262"/>
      <c r="CC552" s="262"/>
      <c r="CD552" s="262"/>
      <c r="CE552" s="262"/>
      <c r="CF552" s="262"/>
      <c r="CG552" s="262"/>
      <c r="CH552" s="262"/>
      <c r="CI552" s="262"/>
      <c r="CJ552" s="262"/>
      <c r="CK552" s="262"/>
      <c r="CL552" s="262"/>
      <c r="CM552" s="262"/>
      <c r="CN552" s="262"/>
      <c r="CO552" s="262"/>
      <c r="CP552" s="262"/>
      <c r="CQ552" s="262"/>
      <c r="CR552" s="262"/>
      <c r="CS552" s="262"/>
      <c r="CT552" s="262"/>
      <c r="CU552" s="262"/>
      <c r="CV552" s="262"/>
    </row>
    <row r="553" spans="33:100">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c r="BS553" s="262"/>
      <c r="BT553" s="262"/>
      <c r="BU553" s="262"/>
      <c r="BV553" s="262"/>
      <c r="BW553" s="262"/>
      <c r="BX553" s="262"/>
      <c r="BY553" s="262"/>
      <c r="BZ553" s="262"/>
      <c r="CA553" s="262"/>
      <c r="CB553" s="262"/>
      <c r="CC553" s="262"/>
      <c r="CD553" s="262"/>
      <c r="CE553" s="262"/>
      <c r="CF553" s="262"/>
      <c r="CG553" s="262"/>
      <c r="CH553" s="262"/>
      <c r="CI553" s="262"/>
      <c r="CJ553" s="262"/>
      <c r="CK553" s="262"/>
      <c r="CL553" s="262"/>
      <c r="CM553" s="262"/>
      <c r="CN553" s="262"/>
      <c r="CO553" s="262"/>
      <c r="CP553" s="262"/>
      <c r="CQ553" s="262"/>
      <c r="CR553" s="262"/>
      <c r="CS553" s="262"/>
      <c r="CT553" s="262"/>
      <c r="CU553" s="262"/>
      <c r="CV553" s="262"/>
    </row>
    <row r="554" spans="33:100">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c r="BS554" s="262"/>
      <c r="BT554" s="262"/>
      <c r="BU554" s="262"/>
      <c r="BV554" s="262"/>
      <c r="BW554" s="262"/>
      <c r="BX554" s="262"/>
      <c r="BY554" s="262"/>
      <c r="BZ554" s="262"/>
      <c r="CA554" s="262"/>
      <c r="CB554" s="262"/>
      <c r="CC554" s="262"/>
      <c r="CD554" s="262"/>
      <c r="CE554" s="262"/>
      <c r="CF554" s="262"/>
      <c r="CG554" s="262"/>
      <c r="CH554" s="262"/>
      <c r="CI554" s="262"/>
      <c r="CJ554" s="262"/>
      <c r="CK554" s="262"/>
      <c r="CL554" s="262"/>
      <c r="CM554" s="262"/>
      <c r="CN554" s="262"/>
      <c r="CO554" s="262"/>
      <c r="CP554" s="262"/>
      <c r="CQ554" s="262"/>
      <c r="CR554" s="262"/>
      <c r="CS554" s="262"/>
      <c r="CT554" s="262"/>
      <c r="CU554" s="262"/>
      <c r="CV554" s="262"/>
    </row>
    <row r="555" spans="33:100">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c r="BS555" s="262"/>
      <c r="BT555" s="262"/>
      <c r="BU555" s="262"/>
      <c r="BV555" s="262"/>
      <c r="BW555" s="262"/>
      <c r="BX555" s="262"/>
      <c r="BY555" s="262"/>
      <c r="BZ555" s="262"/>
      <c r="CA555" s="262"/>
      <c r="CB555" s="262"/>
      <c r="CC555" s="262"/>
      <c r="CD555" s="262"/>
      <c r="CE555" s="262"/>
      <c r="CF555" s="262"/>
      <c r="CG555" s="262"/>
      <c r="CH555" s="262"/>
      <c r="CI555" s="262"/>
      <c r="CJ555" s="262"/>
      <c r="CK555" s="262"/>
      <c r="CL555" s="262"/>
      <c r="CM555" s="262"/>
      <c r="CN555" s="262"/>
      <c r="CO555" s="262"/>
      <c r="CP555" s="262"/>
      <c r="CQ555" s="262"/>
      <c r="CR555" s="262"/>
      <c r="CS555" s="262"/>
      <c r="CT555" s="262"/>
      <c r="CU555" s="262"/>
      <c r="CV555" s="262"/>
    </row>
    <row r="556" spans="33:100">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c r="BS556" s="262"/>
      <c r="BT556" s="262"/>
      <c r="BU556" s="262"/>
      <c r="BV556" s="262"/>
      <c r="BW556" s="262"/>
      <c r="BX556" s="262"/>
      <c r="BY556" s="262"/>
      <c r="BZ556" s="262"/>
      <c r="CA556" s="262"/>
      <c r="CB556" s="262"/>
      <c r="CC556" s="262"/>
      <c r="CD556" s="262"/>
      <c r="CE556" s="262"/>
      <c r="CF556" s="262"/>
      <c r="CG556" s="262"/>
      <c r="CH556" s="262"/>
      <c r="CI556" s="262"/>
      <c r="CJ556" s="262"/>
      <c r="CK556" s="262"/>
      <c r="CL556" s="262"/>
      <c r="CM556" s="262"/>
      <c r="CN556" s="262"/>
      <c r="CO556" s="262"/>
      <c r="CP556" s="262"/>
      <c r="CQ556" s="262"/>
      <c r="CR556" s="262"/>
      <c r="CS556" s="262"/>
      <c r="CT556" s="262"/>
      <c r="CU556" s="262"/>
      <c r="CV556" s="262"/>
    </row>
    <row r="557" spans="33:100">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c r="BS557" s="262"/>
      <c r="BT557" s="262"/>
      <c r="BU557" s="262"/>
      <c r="BV557" s="262"/>
      <c r="BW557" s="262"/>
      <c r="BX557" s="262"/>
      <c r="BY557" s="262"/>
      <c r="BZ557" s="262"/>
      <c r="CA557" s="262"/>
      <c r="CB557" s="262"/>
      <c r="CC557" s="262"/>
      <c r="CD557" s="262"/>
      <c r="CE557" s="262"/>
      <c r="CF557" s="262"/>
      <c r="CG557" s="262"/>
      <c r="CH557" s="262"/>
      <c r="CI557" s="262"/>
      <c r="CJ557" s="262"/>
      <c r="CK557" s="262"/>
      <c r="CL557" s="262"/>
      <c r="CM557" s="262"/>
      <c r="CN557" s="262"/>
      <c r="CO557" s="262"/>
      <c r="CP557" s="262"/>
      <c r="CQ557" s="262"/>
      <c r="CR557" s="262"/>
      <c r="CS557" s="262"/>
      <c r="CT557" s="262"/>
      <c r="CU557" s="262"/>
      <c r="CV557" s="262"/>
    </row>
    <row r="558" spans="33:100">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c r="BS558" s="262"/>
      <c r="BT558" s="262"/>
      <c r="BU558" s="262"/>
      <c r="BV558" s="262"/>
      <c r="BW558" s="262"/>
      <c r="BX558" s="262"/>
      <c r="BY558" s="262"/>
      <c r="BZ558" s="262"/>
      <c r="CA558" s="262"/>
      <c r="CB558" s="262"/>
      <c r="CC558" s="262"/>
      <c r="CD558" s="262"/>
      <c r="CE558" s="262"/>
      <c r="CF558" s="262"/>
      <c r="CG558" s="262"/>
      <c r="CH558" s="262"/>
      <c r="CI558" s="262"/>
      <c r="CJ558" s="262"/>
      <c r="CK558" s="262"/>
      <c r="CL558" s="262"/>
      <c r="CM558" s="262"/>
      <c r="CN558" s="262"/>
      <c r="CO558" s="262"/>
      <c r="CP558" s="262"/>
      <c r="CQ558" s="262"/>
      <c r="CR558" s="262"/>
      <c r="CS558" s="262"/>
      <c r="CT558" s="262"/>
      <c r="CU558" s="262"/>
      <c r="CV558" s="262"/>
    </row>
    <row r="559" spans="33:100">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c r="BS559" s="262"/>
      <c r="BT559" s="262"/>
      <c r="BU559" s="262"/>
      <c r="BV559" s="262"/>
      <c r="BW559" s="262"/>
      <c r="BX559" s="262"/>
      <c r="BY559" s="262"/>
      <c r="BZ559" s="262"/>
      <c r="CA559" s="262"/>
      <c r="CB559" s="262"/>
      <c r="CC559" s="262"/>
      <c r="CD559" s="262"/>
      <c r="CE559" s="262"/>
      <c r="CF559" s="262"/>
      <c r="CG559" s="262"/>
      <c r="CH559" s="262"/>
      <c r="CI559" s="262"/>
      <c r="CJ559" s="262"/>
      <c r="CK559" s="262"/>
      <c r="CL559" s="262"/>
      <c r="CM559" s="262"/>
      <c r="CN559" s="262"/>
      <c r="CO559" s="262"/>
      <c r="CP559" s="262"/>
      <c r="CQ559" s="262"/>
      <c r="CR559" s="262"/>
      <c r="CS559" s="262"/>
      <c r="CT559" s="262"/>
      <c r="CU559" s="262"/>
      <c r="CV559" s="262"/>
    </row>
    <row r="560" spans="33:100">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c r="BS560" s="262"/>
      <c r="BT560" s="262"/>
      <c r="BU560" s="262"/>
      <c r="BV560" s="262"/>
      <c r="BW560" s="262"/>
      <c r="BX560" s="262"/>
      <c r="BY560" s="262"/>
      <c r="BZ560" s="262"/>
      <c r="CA560" s="262"/>
      <c r="CB560" s="262"/>
      <c r="CC560" s="262"/>
      <c r="CD560" s="262"/>
      <c r="CE560" s="262"/>
      <c r="CF560" s="262"/>
      <c r="CG560" s="262"/>
      <c r="CH560" s="262"/>
      <c r="CI560" s="262"/>
      <c r="CJ560" s="262"/>
      <c r="CK560" s="262"/>
      <c r="CL560" s="262"/>
      <c r="CM560" s="262"/>
      <c r="CN560" s="262"/>
      <c r="CO560" s="262"/>
      <c r="CP560" s="262"/>
      <c r="CQ560" s="262"/>
      <c r="CR560" s="262"/>
      <c r="CS560" s="262"/>
      <c r="CT560" s="262"/>
      <c r="CU560" s="262"/>
      <c r="CV560" s="262"/>
    </row>
    <row r="561" spans="33:100">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c r="BS561" s="262"/>
      <c r="BT561" s="262"/>
      <c r="BU561" s="262"/>
      <c r="BV561" s="262"/>
      <c r="BW561" s="262"/>
      <c r="BX561" s="262"/>
      <c r="BY561" s="262"/>
      <c r="BZ561" s="262"/>
      <c r="CA561" s="262"/>
      <c r="CB561" s="262"/>
      <c r="CC561" s="262"/>
      <c r="CD561" s="262"/>
      <c r="CE561" s="262"/>
      <c r="CF561" s="262"/>
      <c r="CG561" s="262"/>
      <c r="CH561" s="262"/>
      <c r="CI561" s="262"/>
      <c r="CJ561" s="262"/>
      <c r="CK561" s="262"/>
      <c r="CL561" s="262"/>
      <c r="CM561" s="262"/>
      <c r="CN561" s="262"/>
      <c r="CO561" s="262"/>
      <c r="CP561" s="262"/>
      <c r="CQ561" s="262"/>
      <c r="CR561" s="262"/>
      <c r="CS561" s="262"/>
      <c r="CT561" s="262"/>
      <c r="CU561" s="262"/>
      <c r="CV561" s="262"/>
    </row>
    <row r="562" spans="33:100">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c r="BS562" s="262"/>
      <c r="BT562" s="262"/>
      <c r="BU562" s="262"/>
      <c r="BV562" s="262"/>
      <c r="BW562" s="262"/>
      <c r="BX562" s="262"/>
      <c r="BY562" s="262"/>
      <c r="BZ562" s="262"/>
      <c r="CA562" s="262"/>
      <c r="CB562" s="262"/>
      <c r="CC562" s="262"/>
      <c r="CD562" s="262"/>
      <c r="CE562" s="262"/>
      <c r="CF562" s="262"/>
      <c r="CG562" s="262"/>
      <c r="CH562" s="262"/>
      <c r="CI562" s="262"/>
      <c r="CJ562" s="262"/>
      <c r="CK562" s="262"/>
      <c r="CL562" s="262"/>
      <c r="CM562" s="262"/>
      <c r="CN562" s="262"/>
      <c r="CO562" s="262"/>
      <c r="CP562" s="262"/>
      <c r="CQ562" s="262"/>
      <c r="CR562" s="262"/>
      <c r="CS562" s="262"/>
      <c r="CT562" s="262"/>
      <c r="CU562" s="262"/>
      <c r="CV562" s="262"/>
    </row>
    <row r="563" spans="33:100">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c r="BS563" s="262"/>
      <c r="BT563" s="262"/>
      <c r="BU563" s="262"/>
      <c r="BV563" s="262"/>
      <c r="BW563" s="262"/>
      <c r="BX563" s="262"/>
      <c r="BY563" s="262"/>
      <c r="BZ563" s="262"/>
      <c r="CA563" s="262"/>
      <c r="CB563" s="262"/>
      <c r="CC563" s="262"/>
      <c r="CD563" s="262"/>
      <c r="CE563" s="262"/>
      <c r="CF563" s="262"/>
      <c r="CG563" s="262"/>
      <c r="CH563" s="262"/>
      <c r="CI563" s="262"/>
      <c r="CJ563" s="262"/>
      <c r="CK563" s="262"/>
      <c r="CL563" s="262"/>
      <c r="CM563" s="262"/>
      <c r="CN563" s="262"/>
      <c r="CO563" s="262"/>
      <c r="CP563" s="262"/>
      <c r="CQ563" s="262"/>
      <c r="CR563" s="262"/>
      <c r="CS563" s="262"/>
      <c r="CT563" s="262"/>
      <c r="CU563" s="262"/>
      <c r="CV563" s="262"/>
    </row>
    <row r="564" spans="33:100">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c r="BS564" s="262"/>
      <c r="BT564" s="262"/>
      <c r="BU564" s="262"/>
      <c r="BV564" s="262"/>
      <c r="BW564" s="262"/>
      <c r="BX564" s="262"/>
      <c r="BY564" s="262"/>
      <c r="BZ564" s="262"/>
      <c r="CA564" s="262"/>
      <c r="CB564" s="262"/>
      <c r="CC564" s="262"/>
      <c r="CD564" s="262"/>
      <c r="CE564" s="262"/>
      <c r="CF564" s="262"/>
      <c r="CG564" s="262"/>
      <c r="CH564" s="262"/>
      <c r="CI564" s="262"/>
      <c r="CJ564" s="262"/>
      <c r="CK564" s="262"/>
      <c r="CL564" s="262"/>
      <c r="CM564" s="262"/>
      <c r="CN564" s="262"/>
      <c r="CO564" s="262"/>
      <c r="CP564" s="262"/>
      <c r="CQ564" s="262"/>
      <c r="CR564" s="262"/>
      <c r="CS564" s="262"/>
      <c r="CT564" s="262"/>
      <c r="CU564" s="262"/>
      <c r="CV564" s="262"/>
    </row>
    <row r="565" spans="33:100">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c r="BS565" s="262"/>
      <c r="BT565" s="262"/>
      <c r="BU565" s="262"/>
      <c r="BV565" s="262"/>
      <c r="BW565" s="262"/>
      <c r="BX565" s="262"/>
      <c r="BY565" s="262"/>
      <c r="BZ565" s="262"/>
      <c r="CA565" s="262"/>
      <c r="CB565" s="262"/>
      <c r="CC565" s="262"/>
      <c r="CD565" s="262"/>
      <c r="CE565" s="262"/>
      <c r="CF565" s="262"/>
      <c r="CG565" s="262"/>
      <c r="CH565" s="262"/>
      <c r="CI565" s="262"/>
      <c r="CJ565" s="262"/>
      <c r="CK565" s="262"/>
      <c r="CL565" s="262"/>
      <c r="CM565" s="262"/>
      <c r="CN565" s="262"/>
      <c r="CO565" s="262"/>
      <c r="CP565" s="262"/>
      <c r="CQ565" s="262"/>
      <c r="CR565" s="262"/>
      <c r="CS565" s="262"/>
      <c r="CT565" s="262"/>
      <c r="CU565" s="262"/>
      <c r="CV565" s="262"/>
    </row>
    <row r="566" spans="33:100">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c r="BS566" s="262"/>
      <c r="BT566" s="262"/>
      <c r="BU566" s="262"/>
      <c r="BV566" s="262"/>
      <c r="BW566" s="262"/>
      <c r="BX566" s="262"/>
      <c r="BY566" s="262"/>
      <c r="BZ566" s="262"/>
      <c r="CA566" s="262"/>
      <c r="CB566" s="262"/>
      <c r="CC566" s="262"/>
      <c r="CD566" s="262"/>
      <c r="CE566" s="262"/>
      <c r="CF566" s="262"/>
      <c r="CG566" s="262"/>
      <c r="CH566" s="262"/>
      <c r="CI566" s="262"/>
      <c r="CJ566" s="262"/>
      <c r="CK566" s="262"/>
      <c r="CL566" s="262"/>
      <c r="CM566" s="262"/>
      <c r="CN566" s="262"/>
      <c r="CO566" s="262"/>
      <c r="CP566" s="262"/>
      <c r="CQ566" s="262"/>
      <c r="CR566" s="262"/>
      <c r="CS566" s="262"/>
      <c r="CT566" s="262"/>
      <c r="CU566" s="262"/>
      <c r="CV566" s="262"/>
    </row>
    <row r="567" spans="33:100">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c r="BS567" s="262"/>
      <c r="BT567" s="262"/>
      <c r="BU567" s="262"/>
      <c r="BV567" s="262"/>
      <c r="BW567" s="262"/>
      <c r="BX567" s="262"/>
      <c r="BY567" s="262"/>
      <c r="BZ567" s="262"/>
      <c r="CA567" s="262"/>
      <c r="CB567" s="262"/>
      <c r="CC567" s="262"/>
      <c r="CD567" s="262"/>
      <c r="CE567" s="262"/>
      <c r="CF567" s="262"/>
      <c r="CG567" s="262"/>
      <c r="CH567" s="262"/>
      <c r="CI567" s="262"/>
      <c r="CJ567" s="262"/>
      <c r="CK567" s="262"/>
      <c r="CL567" s="262"/>
      <c r="CM567" s="262"/>
      <c r="CN567" s="262"/>
      <c r="CO567" s="262"/>
      <c r="CP567" s="262"/>
      <c r="CQ567" s="262"/>
      <c r="CR567" s="262"/>
      <c r="CS567" s="262"/>
      <c r="CT567" s="262"/>
      <c r="CU567" s="262"/>
      <c r="CV567" s="262"/>
    </row>
    <row r="568" spans="33:100">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c r="BS568" s="262"/>
      <c r="BT568" s="262"/>
      <c r="BU568" s="262"/>
      <c r="BV568" s="262"/>
      <c r="BW568" s="262"/>
      <c r="BX568" s="262"/>
      <c r="BY568" s="262"/>
      <c r="BZ568" s="262"/>
      <c r="CA568" s="262"/>
      <c r="CB568" s="262"/>
      <c r="CC568" s="262"/>
      <c r="CD568" s="262"/>
      <c r="CE568" s="262"/>
      <c r="CF568" s="262"/>
      <c r="CG568" s="262"/>
      <c r="CH568" s="262"/>
      <c r="CI568" s="262"/>
      <c r="CJ568" s="262"/>
      <c r="CK568" s="262"/>
      <c r="CL568" s="262"/>
      <c r="CM568" s="262"/>
      <c r="CN568" s="262"/>
      <c r="CO568" s="262"/>
      <c r="CP568" s="262"/>
      <c r="CQ568" s="262"/>
      <c r="CR568" s="262"/>
      <c r="CS568" s="262"/>
      <c r="CT568" s="262"/>
      <c r="CU568" s="262"/>
      <c r="CV568" s="262"/>
    </row>
    <row r="569" spans="33:100">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c r="BS569" s="262"/>
      <c r="BT569" s="262"/>
      <c r="BU569" s="262"/>
      <c r="BV569" s="262"/>
      <c r="BW569" s="262"/>
      <c r="BX569" s="262"/>
      <c r="BY569" s="262"/>
      <c r="BZ569" s="262"/>
      <c r="CA569" s="262"/>
      <c r="CB569" s="262"/>
      <c r="CC569" s="262"/>
      <c r="CD569" s="262"/>
      <c r="CE569" s="262"/>
      <c r="CF569" s="262"/>
      <c r="CG569" s="262"/>
      <c r="CH569" s="262"/>
      <c r="CI569" s="262"/>
      <c r="CJ569" s="262"/>
      <c r="CK569" s="262"/>
      <c r="CL569" s="262"/>
      <c r="CM569" s="262"/>
      <c r="CN569" s="262"/>
      <c r="CO569" s="262"/>
      <c r="CP569" s="262"/>
      <c r="CQ569" s="262"/>
      <c r="CR569" s="262"/>
      <c r="CS569" s="262"/>
      <c r="CT569" s="262"/>
      <c r="CU569" s="262"/>
      <c r="CV569" s="262"/>
    </row>
    <row r="570" spans="33:100">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c r="BS570" s="262"/>
      <c r="BT570" s="262"/>
      <c r="BU570" s="262"/>
      <c r="BV570" s="262"/>
      <c r="BW570" s="262"/>
      <c r="BX570" s="262"/>
      <c r="BY570" s="262"/>
      <c r="BZ570" s="262"/>
      <c r="CA570" s="262"/>
      <c r="CB570" s="262"/>
      <c r="CC570" s="262"/>
      <c r="CD570" s="262"/>
      <c r="CE570" s="262"/>
      <c r="CF570" s="262"/>
      <c r="CG570" s="262"/>
      <c r="CH570" s="262"/>
      <c r="CI570" s="262"/>
      <c r="CJ570" s="262"/>
      <c r="CK570" s="262"/>
      <c r="CL570" s="262"/>
      <c r="CM570" s="262"/>
      <c r="CN570" s="262"/>
      <c r="CO570" s="262"/>
      <c r="CP570" s="262"/>
      <c r="CQ570" s="262"/>
      <c r="CR570" s="262"/>
      <c r="CS570" s="262"/>
      <c r="CT570" s="262"/>
      <c r="CU570" s="262"/>
      <c r="CV570" s="262"/>
    </row>
    <row r="571" spans="33:100">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c r="BS571" s="262"/>
      <c r="BT571" s="262"/>
      <c r="BU571" s="262"/>
      <c r="BV571" s="262"/>
      <c r="BW571" s="262"/>
      <c r="BX571" s="262"/>
      <c r="BY571" s="262"/>
      <c r="BZ571" s="262"/>
      <c r="CA571" s="262"/>
      <c r="CB571" s="262"/>
      <c r="CC571" s="262"/>
      <c r="CD571" s="262"/>
      <c r="CE571" s="262"/>
      <c r="CF571" s="262"/>
      <c r="CG571" s="262"/>
      <c r="CH571" s="262"/>
      <c r="CI571" s="262"/>
      <c r="CJ571" s="262"/>
      <c r="CK571" s="262"/>
      <c r="CL571" s="262"/>
      <c r="CM571" s="262"/>
      <c r="CN571" s="262"/>
      <c r="CO571" s="262"/>
      <c r="CP571" s="262"/>
      <c r="CQ571" s="262"/>
      <c r="CR571" s="262"/>
      <c r="CS571" s="262"/>
      <c r="CT571" s="262"/>
      <c r="CU571" s="262"/>
      <c r="CV571" s="262"/>
    </row>
    <row r="572" spans="33:100">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c r="BS572" s="262"/>
      <c r="BT572" s="262"/>
      <c r="BU572" s="262"/>
      <c r="BV572" s="262"/>
      <c r="BW572" s="262"/>
      <c r="BX572" s="262"/>
      <c r="BY572" s="262"/>
      <c r="BZ572" s="262"/>
      <c r="CA572" s="262"/>
      <c r="CB572" s="262"/>
      <c r="CC572" s="262"/>
      <c r="CD572" s="262"/>
      <c r="CE572" s="262"/>
      <c r="CF572" s="262"/>
      <c r="CG572" s="262"/>
      <c r="CH572" s="262"/>
      <c r="CI572" s="262"/>
      <c r="CJ572" s="262"/>
      <c r="CK572" s="262"/>
      <c r="CL572" s="262"/>
      <c r="CM572" s="262"/>
      <c r="CN572" s="262"/>
      <c r="CO572" s="262"/>
      <c r="CP572" s="262"/>
      <c r="CQ572" s="262"/>
      <c r="CR572" s="262"/>
      <c r="CS572" s="262"/>
      <c r="CT572" s="262"/>
      <c r="CU572" s="262"/>
      <c r="CV572" s="262"/>
    </row>
    <row r="573" spans="33:100">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c r="BS573" s="262"/>
      <c r="BT573" s="262"/>
      <c r="BU573" s="262"/>
      <c r="BV573" s="262"/>
      <c r="BW573" s="262"/>
      <c r="BX573" s="262"/>
      <c r="BY573" s="262"/>
      <c r="BZ573" s="262"/>
      <c r="CA573" s="262"/>
      <c r="CB573" s="262"/>
      <c r="CC573" s="262"/>
      <c r="CD573" s="262"/>
      <c r="CE573" s="262"/>
      <c r="CF573" s="262"/>
      <c r="CG573" s="262"/>
      <c r="CH573" s="262"/>
      <c r="CI573" s="262"/>
      <c r="CJ573" s="262"/>
      <c r="CK573" s="262"/>
      <c r="CL573" s="262"/>
      <c r="CM573" s="262"/>
      <c r="CN573" s="262"/>
      <c r="CO573" s="262"/>
      <c r="CP573" s="262"/>
      <c r="CQ573" s="262"/>
      <c r="CR573" s="262"/>
      <c r="CS573" s="262"/>
      <c r="CT573" s="262"/>
      <c r="CU573" s="262"/>
      <c r="CV573" s="262"/>
    </row>
    <row r="574" spans="33:100">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c r="BS574" s="262"/>
      <c r="BT574" s="262"/>
      <c r="BU574" s="262"/>
      <c r="BV574" s="262"/>
      <c r="BW574" s="262"/>
      <c r="BX574" s="262"/>
      <c r="BY574" s="262"/>
      <c r="BZ574" s="262"/>
      <c r="CA574" s="262"/>
      <c r="CB574" s="262"/>
      <c r="CC574" s="262"/>
      <c r="CD574" s="262"/>
      <c r="CE574" s="262"/>
      <c r="CF574" s="262"/>
      <c r="CG574" s="262"/>
      <c r="CH574" s="262"/>
      <c r="CI574" s="262"/>
      <c r="CJ574" s="262"/>
      <c r="CK574" s="262"/>
      <c r="CL574" s="262"/>
      <c r="CM574" s="262"/>
      <c r="CN574" s="262"/>
      <c r="CO574" s="262"/>
      <c r="CP574" s="262"/>
      <c r="CQ574" s="262"/>
      <c r="CR574" s="262"/>
      <c r="CS574" s="262"/>
      <c r="CT574" s="262"/>
      <c r="CU574" s="262"/>
      <c r="CV574" s="262"/>
    </row>
    <row r="575" spans="33:100">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c r="BS575" s="262"/>
      <c r="BT575" s="262"/>
      <c r="BU575" s="262"/>
      <c r="BV575" s="262"/>
      <c r="BW575" s="262"/>
      <c r="BX575" s="262"/>
      <c r="BY575" s="262"/>
      <c r="BZ575" s="262"/>
      <c r="CA575" s="262"/>
      <c r="CB575" s="262"/>
      <c r="CC575" s="262"/>
      <c r="CD575" s="262"/>
      <c r="CE575" s="262"/>
      <c r="CF575" s="262"/>
      <c r="CG575" s="262"/>
      <c r="CH575" s="262"/>
      <c r="CI575" s="262"/>
      <c r="CJ575" s="262"/>
      <c r="CK575" s="262"/>
      <c r="CL575" s="262"/>
      <c r="CM575" s="262"/>
      <c r="CN575" s="262"/>
      <c r="CO575" s="262"/>
      <c r="CP575" s="262"/>
      <c r="CQ575" s="262"/>
      <c r="CR575" s="262"/>
      <c r="CS575" s="262"/>
      <c r="CT575" s="262"/>
      <c r="CU575" s="262"/>
      <c r="CV575" s="262"/>
    </row>
    <row r="576" spans="33:100">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c r="BS576" s="262"/>
      <c r="BT576" s="262"/>
      <c r="BU576" s="262"/>
      <c r="BV576" s="262"/>
      <c r="BW576" s="262"/>
      <c r="BX576" s="262"/>
      <c r="BY576" s="262"/>
      <c r="BZ576" s="262"/>
      <c r="CA576" s="262"/>
      <c r="CB576" s="262"/>
      <c r="CC576" s="262"/>
      <c r="CD576" s="262"/>
      <c r="CE576" s="262"/>
      <c r="CF576" s="262"/>
      <c r="CG576" s="262"/>
      <c r="CH576" s="262"/>
      <c r="CI576" s="262"/>
      <c r="CJ576" s="262"/>
      <c r="CK576" s="262"/>
      <c r="CL576" s="262"/>
      <c r="CM576" s="262"/>
      <c r="CN576" s="262"/>
      <c r="CO576" s="262"/>
      <c r="CP576" s="262"/>
      <c r="CQ576" s="262"/>
      <c r="CR576" s="262"/>
      <c r="CS576" s="262"/>
      <c r="CT576" s="262"/>
      <c r="CU576" s="262"/>
      <c r="CV576" s="262"/>
    </row>
    <row r="577" spans="33:100">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c r="BS577" s="262"/>
      <c r="BT577" s="262"/>
      <c r="BU577" s="262"/>
      <c r="BV577" s="262"/>
      <c r="BW577" s="262"/>
      <c r="BX577" s="262"/>
      <c r="BY577" s="262"/>
      <c r="BZ577" s="262"/>
      <c r="CA577" s="262"/>
      <c r="CB577" s="262"/>
      <c r="CC577" s="262"/>
      <c r="CD577" s="262"/>
      <c r="CE577" s="262"/>
      <c r="CF577" s="262"/>
      <c r="CG577" s="262"/>
      <c r="CH577" s="262"/>
      <c r="CI577" s="262"/>
      <c r="CJ577" s="262"/>
      <c r="CK577" s="262"/>
      <c r="CL577" s="262"/>
      <c r="CM577" s="262"/>
      <c r="CN577" s="262"/>
      <c r="CO577" s="262"/>
      <c r="CP577" s="262"/>
      <c r="CQ577" s="262"/>
      <c r="CR577" s="262"/>
      <c r="CS577" s="262"/>
      <c r="CT577" s="262"/>
      <c r="CU577" s="262"/>
      <c r="CV577" s="262"/>
    </row>
    <row r="578" spans="33:100">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c r="BS578" s="262"/>
      <c r="BT578" s="262"/>
      <c r="BU578" s="262"/>
      <c r="BV578" s="262"/>
      <c r="BW578" s="262"/>
      <c r="BX578" s="262"/>
      <c r="BY578" s="262"/>
      <c r="BZ578" s="262"/>
      <c r="CA578" s="262"/>
      <c r="CB578" s="262"/>
      <c r="CC578" s="262"/>
      <c r="CD578" s="262"/>
      <c r="CE578" s="262"/>
      <c r="CF578" s="262"/>
      <c r="CG578" s="262"/>
      <c r="CH578" s="262"/>
      <c r="CI578" s="262"/>
      <c r="CJ578" s="262"/>
      <c r="CK578" s="262"/>
      <c r="CL578" s="262"/>
      <c r="CM578" s="262"/>
      <c r="CN578" s="262"/>
      <c r="CO578" s="262"/>
      <c r="CP578" s="262"/>
      <c r="CQ578" s="262"/>
      <c r="CR578" s="262"/>
      <c r="CS578" s="262"/>
      <c r="CT578" s="262"/>
      <c r="CU578" s="262"/>
      <c r="CV578" s="262"/>
    </row>
    <row r="579" spans="33:100">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c r="BS579" s="262"/>
      <c r="BT579" s="262"/>
      <c r="BU579" s="262"/>
      <c r="BV579" s="262"/>
      <c r="BW579" s="262"/>
      <c r="BX579" s="262"/>
      <c r="BY579" s="262"/>
      <c r="BZ579" s="262"/>
      <c r="CA579" s="262"/>
      <c r="CB579" s="262"/>
      <c r="CC579" s="262"/>
      <c r="CD579" s="262"/>
      <c r="CE579" s="262"/>
      <c r="CF579" s="262"/>
      <c r="CG579" s="262"/>
      <c r="CH579" s="262"/>
      <c r="CI579" s="262"/>
      <c r="CJ579" s="262"/>
      <c r="CK579" s="262"/>
      <c r="CL579" s="262"/>
      <c r="CM579" s="262"/>
      <c r="CN579" s="262"/>
      <c r="CO579" s="262"/>
      <c r="CP579" s="262"/>
      <c r="CQ579" s="262"/>
      <c r="CR579" s="262"/>
      <c r="CS579" s="262"/>
      <c r="CT579" s="262"/>
      <c r="CU579" s="262"/>
      <c r="CV579" s="262"/>
    </row>
    <row r="580" spans="33:100">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c r="BS580" s="262"/>
      <c r="BT580" s="262"/>
      <c r="BU580" s="262"/>
      <c r="BV580" s="262"/>
      <c r="BW580" s="262"/>
      <c r="BX580" s="262"/>
      <c r="BY580" s="262"/>
      <c r="BZ580" s="262"/>
      <c r="CA580" s="262"/>
      <c r="CB580" s="262"/>
      <c r="CC580" s="262"/>
      <c r="CD580" s="262"/>
      <c r="CE580" s="262"/>
      <c r="CF580" s="262"/>
      <c r="CG580" s="262"/>
      <c r="CH580" s="262"/>
      <c r="CI580" s="262"/>
      <c r="CJ580" s="262"/>
      <c r="CK580" s="262"/>
      <c r="CL580" s="262"/>
      <c r="CM580" s="262"/>
      <c r="CN580" s="262"/>
      <c r="CO580" s="262"/>
      <c r="CP580" s="262"/>
      <c r="CQ580" s="262"/>
      <c r="CR580" s="262"/>
      <c r="CS580" s="262"/>
      <c r="CT580" s="262"/>
      <c r="CU580" s="262"/>
      <c r="CV580" s="262"/>
    </row>
    <row r="581" spans="33:100">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c r="BS581" s="262"/>
      <c r="BT581" s="262"/>
      <c r="BU581" s="262"/>
      <c r="BV581" s="262"/>
      <c r="BW581" s="262"/>
      <c r="BX581" s="262"/>
      <c r="BY581" s="262"/>
      <c r="BZ581" s="262"/>
      <c r="CA581" s="262"/>
      <c r="CB581" s="262"/>
      <c r="CC581" s="262"/>
      <c r="CD581" s="262"/>
      <c r="CE581" s="262"/>
      <c r="CF581" s="262"/>
      <c r="CG581" s="262"/>
      <c r="CH581" s="262"/>
      <c r="CI581" s="262"/>
      <c r="CJ581" s="262"/>
      <c r="CK581" s="262"/>
      <c r="CL581" s="262"/>
      <c r="CM581" s="262"/>
      <c r="CN581" s="262"/>
      <c r="CO581" s="262"/>
      <c r="CP581" s="262"/>
      <c r="CQ581" s="262"/>
      <c r="CR581" s="262"/>
      <c r="CS581" s="262"/>
      <c r="CT581" s="262"/>
      <c r="CU581" s="262"/>
      <c r="CV581" s="262"/>
    </row>
    <row r="582" spans="33:100">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c r="BS582" s="262"/>
      <c r="BT582" s="262"/>
      <c r="BU582" s="262"/>
      <c r="BV582" s="262"/>
      <c r="BW582" s="262"/>
      <c r="BX582" s="262"/>
      <c r="BY582" s="262"/>
      <c r="BZ582" s="262"/>
      <c r="CA582" s="262"/>
      <c r="CB582" s="262"/>
      <c r="CC582" s="262"/>
      <c r="CD582" s="262"/>
      <c r="CE582" s="262"/>
      <c r="CF582" s="262"/>
      <c r="CG582" s="262"/>
      <c r="CH582" s="262"/>
      <c r="CI582" s="262"/>
      <c r="CJ582" s="262"/>
      <c r="CK582" s="262"/>
      <c r="CL582" s="262"/>
      <c r="CM582" s="262"/>
      <c r="CN582" s="262"/>
      <c r="CO582" s="262"/>
      <c r="CP582" s="262"/>
      <c r="CQ582" s="262"/>
      <c r="CR582" s="262"/>
      <c r="CS582" s="262"/>
      <c r="CT582" s="262"/>
      <c r="CU582" s="262"/>
      <c r="CV582" s="262"/>
    </row>
    <row r="583" spans="33:100">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c r="BS583" s="262"/>
      <c r="BT583" s="262"/>
      <c r="BU583" s="262"/>
      <c r="BV583" s="262"/>
      <c r="BW583" s="262"/>
      <c r="BX583" s="262"/>
      <c r="BY583" s="262"/>
      <c r="BZ583" s="262"/>
      <c r="CA583" s="262"/>
      <c r="CB583" s="262"/>
      <c r="CC583" s="262"/>
      <c r="CD583" s="262"/>
      <c r="CE583" s="262"/>
      <c r="CF583" s="262"/>
      <c r="CG583" s="262"/>
      <c r="CH583" s="262"/>
      <c r="CI583" s="262"/>
      <c r="CJ583" s="262"/>
      <c r="CK583" s="262"/>
      <c r="CL583" s="262"/>
      <c r="CM583" s="262"/>
      <c r="CN583" s="262"/>
      <c r="CO583" s="262"/>
      <c r="CP583" s="262"/>
      <c r="CQ583" s="262"/>
      <c r="CR583" s="262"/>
      <c r="CS583" s="262"/>
      <c r="CT583" s="262"/>
      <c r="CU583" s="262"/>
      <c r="CV583" s="262"/>
    </row>
    <row r="584" spans="33:100">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c r="BS584" s="262"/>
      <c r="BT584" s="262"/>
      <c r="BU584" s="262"/>
      <c r="BV584" s="262"/>
      <c r="BW584" s="262"/>
      <c r="BX584" s="262"/>
      <c r="BY584" s="262"/>
      <c r="BZ584" s="262"/>
      <c r="CA584" s="262"/>
      <c r="CB584" s="262"/>
      <c r="CC584" s="262"/>
      <c r="CD584" s="262"/>
      <c r="CE584" s="262"/>
      <c r="CF584" s="262"/>
      <c r="CG584" s="262"/>
      <c r="CH584" s="262"/>
      <c r="CI584" s="262"/>
      <c r="CJ584" s="262"/>
      <c r="CK584" s="262"/>
      <c r="CL584" s="262"/>
      <c r="CM584" s="262"/>
      <c r="CN584" s="262"/>
      <c r="CO584" s="262"/>
      <c r="CP584" s="262"/>
      <c r="CQ584" s="262"/>
      <c r="CR584" s="262"/>
      <c r="CS584" s="262"/>
      <c r="CT584" s="262"/>
      <c r="CU584" s="262"/>
      <c r="CV584" s="262"/>
    </row>
    <row r="585" spans="33:100">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c r="BS585" s="262"/>
      <c r="BT585" s="262"/>
      <c r="BU585" s="262"/>
      <c r="BV585" s="262"/>
      <c r="BW585" s="262"/>
      <c r="BX585" s="262"/>
      <c r="BY585" s="262"/>
      <c r="BZ585" s="262"/>
      <c r="CA585" s="262"/>
      <c r="CB585" s="262"/>
      <c r="CC585" s="262"/>
      <c r="CD585" s="262"/>
      <c r="CE585" s="262"/>
      <c r="CF585" s="262"/>
      <c r="CG585" s="262"/>
      <c r="CH585" s="262"/>
      <c r="CI585" s="262"/>
      <c r="CJ585" s="262"/>
      <c r="CK585" s="262"/>
      <c r="CL585" s="262"/>
      <c r="CM585" s="262"/>
      <c r="CN585" s="262"/>
      <c r="CO585" s="262"/>
      <c r="CP585" s="262"/>
      <c r="CQ585" s="262"/>
      <c r="CR585" s="262"/>
      <c r="CS585" s="262"/>
      <c r="CT585" s="262"/>
      <c r="CU585" s="262"/>
      <c r="CV585" s="262"/>
    </row>
    <row r="586" spans="33:100">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c r="BS586" s="262"/>
      <c r="BT586" s="262"/>
      <c r="BU586" s="262"/>
      <c r="BV586" s="262"/>
      <c r="BW586" s="262"/>
      <c r="BX586" s="262"/>
      <c r="BY586" s="262"/>
      <c r="BZ586" s="262"/>
      <c r="CA586" s="262"/>
      <c r="CB586" s="262"/>
      <c r="CC586" s="262"/>
      <c r="CD586" s="262"/>
      <c r="CE586" s="262"/>
      <c r="CF586" s="262"/>
      <c r="CG586" s="262"/>
      <c r="CH586" s="262"/>
      <c r="CI586" s="262"/>
      <c r="CJ586" s="262"/>
      <c r="CK586" s="262"/>
      <c r="CL586" s="262"/>
      <c r="CM586" s="262"/>
      <c r="CN586" s="262"/>
      <c r="CO586" s="262"/>
      <c r="CP586" s="262"/>
      <c r="CQ586" s="262"/>
      <c r="CR586" s="262"/>
      <c r="CS586" s="262"/>
      <c r="CT586" s="262"/>
      <c r="CU586" s="262"/>
      <c r="CV586" s="262"/>
    </row>
    <row r="587" spans="33:100">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c r="BS587" s="262"/>
      <c r="BT587" s="262"/>
      <c r="BU587" s="262"/>
      <c r="BV587" s="262"/>
      <c r="BW587" s="262"/>
      <c r="BX587" s="262"/>
      <c r="BY587" s="262"/>
      <c r="BZ587" s="262"/>
      <c r="CA587" s="262"/>
      <c r="CB587" s="262"/>
      <c r="CC587" s="262"/>
      <c r="CD587" s="262"/>
      <c r="CE587" s="262"/>
      <c r="CF587" s="262"/>
      <c r="CG587" s="262"/>
      <c r="CH587" s="262"/>
      <c r="CI587" s="262"/>
      <c r="CJ587" s="262"/>
      <c r="CK587" s="262"/>
      <c r="CL587" s="262"/>
      <c r="CM587" s="262"/>
      <c r="CN587" s="262"/>
      <c r="CO587" s="262"/>
      <c r="CP587" s="262"/>
      <c r="CQ587" s="262"/>
      <c r="CR587" s="262"/>
      <c r="CS587" s="262"/>
      <c r="CT587" s="262"/>
      <c r="CU587" s="262"/>
      <c r="CV587" s="262"/>
    </row>
    <row r="588" spans="33:100">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c r="BS588" s="262"/>
      <c r="BT588" s="262"/>
      <c r="BU588" s="262"/>
      <c r="BV588" s="262"/>
      <c r="BW588" s="262"/>
      <c r="BX588" s="262"/>
      <c r="BY588" s="262"/>
      <c r="BZ588" s="262"/>
      <c r="CA588" s="262"/>
      <c r="CB588" s="262"/>
      <c r="CC588" s="262"/>
      <c r="CD588" s="262"/>
      <c r="CE588" s="262"/>
      <c r="CF588" s="262"/>
      <c r="CG588" s="262"/>
      <c r="CH588" s="262"/>
      <c r="CI588" s="262"/>
      <c r="CJ588" s="262"/>
      <c r="CK588" s="262"/>
      <c r="CL588" s="262"/>
      <c r="CM588" s="262"/>
      <c r="CN588" s="262"/>
      <c r="CO588" s="262"/>
      <c r="CP588" s="262"/>
      <c r="CQ588" s="262"/>
      <c r="CR588" s="262"/>
      <c r="CS588" s="262"/>
      <c r="CT588" s="262"/>
      <c r="CU588" s="262"/>
      <c r="CV588" s="262"/>
    </row>
    <row r="589" spans="33:100">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c r="BS589" s="262"/>
      <c r="BT589" s="262"/>
      <c r="BU589" s="262"/>
      <c r="BV589" s="262"/>
      <c r="BW589" s="262"/>
      <c r="BX589" s="262"/>
      <c r="BY589" s="262"/>
      <c r="BZ589" s="262"/>
      <c r="CA589" s="262"/>
      <c r="CB589" s="262"/>
      <c r="CC589" s="262"/>
      <c r="CD589" s="262"/>
      <c r="CE589" s="262"/>
      <c r="CF589" s="262"/>
      <c r="CG589" s="262"/>
      <c r="CH589" s="262"/>
      <c r="CI589" s="262"/>
      <c r="CJ589" s="262"/>
      <c r="CK589" s="262"/>
      <c r="CL589" s="262"/>
      <c r="CM589" s="262"/>
      <c r="CN589" s="262"/>
      <c r="CO589" s="262"/>
      <c r="CP589" s="262"/>
      <c r="CQ589" s="262"/>
      <c r="CR589" s="262"/>
      <c r="CS589" s="262"/>
      <c r="CT589" s="262"/>
      <c r="CU589" s="262"/>
      <c r="CV589" s="262"/>
    </row>
    <row r="590" spans="33:100">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c r="BS590" s="262"/>
      <c r="BT590" s="262"/>
      <c r="BU590" s="262"/>
      <c r="BV590" s="262"/>
      <c r="BW590" s="262"/>
      <c r="BX590" s="262"/>
      <c r="BY590" s="262"/>
      <c r="BZ590" s="262"/>
      <c r="CA590" s="262"/>
      <c r="CB590" s="262"/>
      <c r="CC590" s="262"/>
      <c r="CD590" s="262"/>
      <c r="CE590" s="262"/>
      <c r="CF590" s="262"/>
      <c r="CG590" s="262"/>
      <c r="CH590" s="262"/>
      <c r="CI590" s="262"/>
      <c r="CJ590" s="262"/>
      <c r="CK590" s="262"/>
      <c r="CL590" s="262"/>
      <c r="CM590" s="262"/>
      <c r="CN590" s="262"/>
      <c r="CO590" s="262"/>
      <c r="CP590" s="262"/>
      <c r="CQ590" s="262"/>
      <c r="CR590" s="262"/>
      <c r="CS590" s="262"/>
      <c r="CT590" s="262"/>
      <c r="CU590" s="262"/>
      <c r="CV590" s="262"/>
    </row>
    <row r="591" spans="33:100">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c r="BS591" s="262"/>
      <c r="BT591" s="262"/>
      <c r="BU591" s="262"/>
      <c r="BV591" s="262"/>
      <c r="BW591" s="262"/>
      <c r="BX591" s="262"/>
      <c r="BY591" s="262"/>
      <c r="BZ591" s="262"/>
      <c r="CA591" s="262"/>
      <c r="CB591" s="262"/>
      <c r="CC591" s="262"/>
      <c r="CD591" s="262"/>
      <c r="CE591" s="262"/>
      <c r="CF591" s="262"/>
      <c r="CG591" s="262"/>
      <c r="CH591" s="262"/>
      <c r="CI591" s="262"/>
      <c r="CJ591" s="262"/>
      <c r="CK591" s="262"/>
      <c r="CL591" s="262"/>
      <c r="CM591" s="262"/>
      <c r="CN591" s="262"/>
      <c r="CO591" s="262"/>
      <c r="CP591" s="262"/>
      <c r="CQ591" s="262"/>
      <c r="CR591" s="262"/>
      <c r="CS591" s="262"/>
      <c r="CT591" s="262"/>
      <c r="CU591" s="262"/>
      <c r="CV591" s="262"/>
    </row>
    <row r="592" spans="33:100">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c r="BS592" s="262"/>
      <c r="BT592" s="262"/>
      <c r="BU592" s="262"/>
      <c r="BV592" s="262"/>
      <c r="BW592" s="262"/>
      <c r="BX592" s="262"/>
      <c r="BY592" s="262"/>
      <c r="BZ592" s="262"/>
      <c r="CA592" s="262"/>
      <c r="CB592" s="262"/>
      <c r="CC592" s="262"/>
      <c r="CD592" s="262"/>
      <c r="CE592" s="262"/>
      <c r="CF592" s="262"/>
      <c r="CG592" s="262"/>
      <c r="CH592" s="262"/>
      <c r="CI592" s="262"/>
      <c r="CJ592" s="262"/>
      <c r="CK592" s="262"/>
      <c r="CL592" s="262"/>
      <c r="CM592" s="262"/>
      <c r="CN592" s="262"/>
      <c r="CO592" s="262"/>
      <c r="CP592" s="262"/>
      <c r="CQ592" s="262"/>
      <c r="CR592" s="262"/>
      <c r="CS592" s="262"/>
      <c r="CT592" s="262"/>
      <c r="CU592" s="262"/>
      <c r="CV592" s="262"/>
    </row>
    <row r="593" spans="33:100">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62"/>
      <c r="BM593" s="262"/>
      <c r="BN593" s="262"/>
      <c r="BO593" s="262"/>
      <c r="BP593" s="262"/>
      <c r="BQ593" s="262"/>
      <c r="BR593" s="262"/>
      <c r="BS593" s="262"/>
      <c r="BT593" s="262"/>
      <c r="BU593" s="262"/>
      <c r="BV593" s="262"/>
      <c r="BW593" s="262"/>
      <c r="BX593" s="262"/>
      <c r="BY593" s="262"/>
      <c r="BZ593" s="262"/>
      <c r="CA593" s="262"/>
      <c r="CB593" s="262"/>
      <c r="CC593" s="262"/>
      <c r="CD593" s="262"/>
      <c r="CE593" s="262"/>
      <c r="CF593" s="262"/>
      <c r="CG593" s="262"/>
      <c r="CH593" s="262"/>
      <c r="CI593" s="262"/>
      <c r="CJ593" s="262"/>
      <c r="CK593" s="262"/>
      <c r="CL593" s="262"/>
      <c r="CM593" s="262"/>
      <c r="CN593" s="262"/>
      <c r="CO593" s="262"/>
      <c r="CP593" s="262"/>
      <c r="CQ593" s="262"/>
      <c r="CR593" s="262"/>
      <c r="CS593" s="262"/>
      <c r="CT593" s="262"/>
      <c r="CU593" s="262"/>
      <c r="CV593" s="262"/>
    </row>
    <row r="594" spans="33:100">
      <c r="AG594" s="262"/>
      <c r="AH594" s="262"/>
      <c r="AI594" s="262"/>
      <c r="AJ594" s="262"/>
      <c r="AK594" s="262"/>
      <c r="AL594" s="262"/>
      <c r="AM594" s="262"/>
      <c r="AN594" s="262"/>
      <c r="AO594" s="262"/>
      <c r="AP594" s="262"/>
      <c r="AQ594" s="262"/>
      <c r="AR594" s="262"/>
      <c r="AS594" s="262"/>
      <c r="AT594" s="262"/>
      <c r="AU594" s="262"/>
      <c r="AV594" s="262"/>
      <c r="AW594" s="262"/>
      <c r="AX594" s="262"/>
      <c r="AY594" s="262"/>
      <c r="AZ594" s="262"/>
      <c r="BA594" s="262"/>
      <c r="BB594" s="262"/>
      <c r="BC594" s="262"/>
      <c r="BD594" s="262"/>
      <c r="BE594" s="262"/>
      <c r="BF594" s="262"/>
      <c r="BG594" s="262"/>
      <c r="BH594" s="262"/>
      <c r="BI594" s="262"/>
      <c r="BJ594" s="262"/>
      <c r="BK594" s="262"/>
      <c r="BL594" s="262"/>
      <c r="BM594" s="262"/>
      <c r="BN594" s="262"/>
      <c r="BO594" s="262"/>
      <c r="BP594" s="262"/>
      <c r="BQ594" s="262"/>
      <c r="BR594" s="262"/>
      <c r="BS594" s="262"/>
      <c r="BT594" s="262"/>
      <c r="BU594" s="262"/>
      <c r="BV594" s="262"/>
      <c r="BW594" s="262"/>
      <c r="BX594" s="262"/>
      <c r="BY594" s="262"/>
      <c r="BZ594" s="262"/>
      <c r="CA594" s="262"/>
      <c r="CB594" s="262"/>
      <c r="CC594" s="262"/>
      <c r="CD594" s="262"/>
      <c r="CE594" s="262"/>
      <c r="CF594" s="262"/>
      <c r="CG594" s="262"/>
      <c r="CH594" s="262"/>
      <c r="CI594" s="262"/>
      <c r="CJ594" s="262"/>
      <c r="CK594" s="262"/>
      <c r="CL594" s="262"/>
      <c r="CM594" s="262"/>
      <c r="CN594" s="262"/>
      <c r="CO594" s="262"/>
      <c r="CP594" s="262"/>
      <c r="CQ594" s="262"/>
      <c r="CR594" s="262"/>
      <c r="CS594" s="262"/>
      <c r="CT594" s="262"/>
      <c r="CU594" s="262"/>
      <c r="CV594" s="262"/>
    </row>
    <row r="595" spans="33:100">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62"/>
      <c r="BM595" s="262"/>
      <c r="BN595" s="262"/>
      <c r="BO595" s="262"/>
      <c r="BP595" s="262"/>
      <c r="BQ595" s="262"/>
      <c r="BR595" s="262"/>
      <c r="BS595" s="262"/>
      <c r="BT595" s="262"/>
      <c r="BU595" s="262"/>
      <c r="BV595" s="262"/>
      <c r="BW595" s="262"/>
      <c r="BX595" s="262"/>
      <c r="BY595" s="262"/>
      <c r="BZ595" s="262"/>
      <c r="CA595" s="262"/>
      <c r="CB595" s="262"/>
      <c r="CC595" s="262"/>
      <c r="CD595" s="262"/>
      <c r="CE595" s="262"/>
      <c r="CF595" s="262"/>
      <c r="CG595" s="262"/>
      <c r="CH595" s="262"/>
      <c r="CI595" s="262"/>
      <c r="CJ595" s="262"/>
      <c r="CK595" s="262"/>
      <c r="CL595" s="262"/>
      <c r="CM595" s="262"/>
      <c r="CN595" s="262"/>
      <c r="CO595" s="262"/>
      <c r="CP595" s="262"/>
      <c r="CQ595" s="262"/>
      <c r="CR595" s="262"/>
      <c r="CS595" s="262"/>
      <c r="CT595" s="262"/>
      <c r="CU595" s="262"/>
      <c r="CV595" s="262"/>
    </row>
    <row r="596" spans="33:100">
      <c r="AG596" s="262"/>
      <c r="AH596" s="262"/>
      <c r="AI596" s="262"/>
      <c r="AJ596" s="262"/>
      <c r="AK596" s="262"/>
      <c r="AL596" s="262"/>
      <c r="AM596" s="262"/>
      <c r="AN596" s="262"/>
      <c r="AO596" s="262"/>
      <c r="AP596" s="262"/>
      <c r="AQ596" s="262"/>
      <c r="AR596" s="262"/>
      <c r="AS596" s="262"/>
      <c r="AT596" s="262"/>
      <c r="AU596" s="262"/>
      <c r="AV596" s="262"/>
      <c r="AW596" s="262"/>
      <c r="AX596" s="262"/>
      <c r="AY596" s="262"/>
      <c r="AZ596" s="262"/>
      <c r="BA596" s="262"/>
      <c r="BB596" s="262"/>
      <c r="BC596" s="262"/>
      <c r="BD596" s="262"/>
      <c r="BE596" s="262"/>
      <c r="BF596" s="262"/>
      <c r="BG596" s="262"/>
      <c r="BH596" s="262"/>
      <c r="BI596" s="262"/>
      <c r="BJ596" s="262"/>
      <c r="BK596" s="262"/>
      <c r="BL596" s="262"/>
      <c r="BM596" s="262"/>
      <c r="BN596" s="262"/>
      <c r="BO596" s="262"/>
      <c r="BP596" s="262"/>
      <c r="BQ596" s="262"/>
      <c r="BR596" s="262"/>
      <c r="BS596" s="262"/>
      <c r="BT596" s="262"/>
      <c r="BU596" s="262"/>
      <c r="BV596" s="262"/>
      <c r="BW596" s="262"/>
      <c r="BX596" s="262"/>
      <c r="BY596" s="262"/>
      <c r="BZ596" s="262"/>
      <c r="CA596" s="262"/>
      <c r="CB596" s="262"/>
      <c r="CC596" s="262"/>
      <c r="CD596" s="262"/>
      <c r="CE596" s="262"/>
      <c r="CF596" s="262"/>
      <c r="CG596" s="262"/>
      <c r="CH596" s="262"/>
      <c r="CI596" s="262"/>
      <c r="CJ596" s="262"/>
      <c r="CK596" s="262"/>
      <c r="CL596" s="262"/>
      <c r="CM596" s="262"/>
      <c r="CN596" s="262"/>
      <c r="CO596" s="262"/>
      <c r="CP596" s="262"/>
      <c r="CQ596" s="262"/>
      <c r="CR596" s="262"/>
      <c r="CS596" s="262"/>
      <c r="CT596" s="262"/>
      <c r="CU596" s="262"/>
      <c r="CV596" s="262"/>
    </row>
    <row r="597" spans="33:100">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62"/>
      <c r="BM597" s="262"/>
      <c r="BN597" s="262"/>
      <c r="BO597" s="262"/>
      <c r="BP597" s="262"/>
      <c r="BQ597" s="262"/>
      <c r="BR597" s="262"/>
      <c r="BS597" s="262"/>
      <c r="BT597" s="262"/>
      <c r="BU597" s="262"/>
      <c r="BV597" s="262"/>
      <c r="BW597" s="262"/>
      <c r="BX597" s="262"/>
      <c r="BY597" s="262"/>
      <c r="BZ597" s="262"/>
      <c r="CA597" s="262"/>
      <c r="CB597" s="262"/>
      <c r="CC597" s="262"/>
      <c r="CD597" s="262"/>
      <c r="CE597" s="262"/>
      <c r="CF597" s="262"/>
      <c r="CG597" s="262"/>
      <c r="CH597" s="262"/>
      <c r="CI597" s="262"/>
      <c r="CJ597" s="262"/>
      <c r="CK597" s="262"/>
      <c r="CL597" s="262"/>
      <c r="CM597" s="262"/>
      <c r="CN597" s="262"/>
      <c r="CO597" s="262"/>
      <c r="CP597" s="262"/>
      <c r="CQ597" s="262"/>
      <c r="CR597" s="262"/>
      <c r="CS597" s="262"/>
      <c r="CT597" s="262"/>
      <c r="CU597" s="262"/>
      <c r="CV597" s="262"/>
    </row>
    <row r="598" spans="33:100">
      <c r="AG598" s="262"/>
      <c r="AH598" s="262"/>
      <c r="AI598" s="262"/>
      <c r="AJ598" s="262"/>
      <c r="AK598" s="262"/>
      <c r="AL598" s="262"/>
      <c r="AM598" s="262"/>
      <c r="AN598" s="262"/>
      <c r="AO598" s="262"/>
      <c r="AP598" s="262"/>
      <c r="AQ598" s="262"/>
      <c r="AR598" s="262"/>
      <c r="AS598" s="262"/>
      <c r="AT598" s="262"/>
      <c r="AU598" s="262"/>
      <c r="AV598" s="262"/>
      <c r="AW598" s="262"/>
      <c r="AX598" s="262"/>
      <c r="AY598" s="262"/>
      <c r="AZ598" s="262"/>
      <c r="BA598" s="262"/>
      <c r="BB598" s="262"/>
      <c r="BC598" s="262"/>
      <c r="BD598" s="262"/>
      <c r="BE598" s="262"/>
      <c r="BF598" s="262"/>
      <c r="BG598" s="262"/>
      <c r="BH598" s="262"/>
      <c r="BI598" s="262"/>
      <c r="BJ598" s="262"/>
      <c r="BK598" s="262"/>
      <c r="BL598" s="262"/>
      <c r="BM598" s="262"/>
      <c r="BN598" s="262"/>
      <c r="BO598" s="262"/>
      <c r="BP598" s="262"/>
      <c r="BQ598" s="262"/>
      <c r="BR598" s="262"/>
      <c r="BS598" s="262"/>
      <c r="BT598" s="262"/>
      <c r="BU598" s="262"/>
      <c r="BV598" s="262"/>
      <c r="BW598" s="262"/>
      <c r="BX598" s="262"/>
      <c r="BY598" s="262"/>
      <c r="BZ598" s="262"/>
      <c r="CA598" s="262"/>
      <c r="CB598" s="262"/>
      <c r="CC598" s="262"/>
      <c r="CD598" s="262"/>
      <c r="CE598" s="262"/>
      <c r="CF598" s="262"/>
      <c r="CG598" s="262"/>
      <c r="CH598" s="262"/>
      <c r="CI598" s="262"/>
      <c r="CJ598" s="262"/>
      <c r="CK598" s="262"/>
      <c r="CL598" s="262"/>
      <c r="CM598" s="262"/>
      <c r="CN598" s="262"/>
      <c r="CO598" s="262"/>
      <c r="CP598" s="262"/>
      <c r="CQ598" s="262"/>
      <c r="CR598" s="262"/>
      <c r="CS598" s="262"/>
      <c r="CT598" s="262"/>
      <c r="CU598" s="262"/>
      <c r="CV598" s="262"/>
    </row>
    <row r="599" spans="33:100">
      <c r="AG599" s="262"/>
      <c r="AH599" s="262"/>
      <c r="AI599" s="262"/>
      <c r="AJ599" s="262"/>
      <c r="AK599" s="262"/>
      <c r="AL599" s="262"/>
      <c r="AM599" s="262"/>
      <c r="AN599" s="262"/>
      <c r="AO599" s="262"/>
      <c r="AP599" s="262"/>
      <c r="AQ599" s="262"/>
      <c r="AR599" s="262"/>
      <c r="AS599" s="262"/>
      <c r="AT599" s="262"/>
      <c r="AU599" s="262"/>
      <c r="AV599" s="262"/>
      <c r="AW599" s="262"/>
      <c r="AX599" s="262"/>
      <c r="AY599" s="262"/>
      <c r="AZ599" s="262"/>
      <c r="BA599" s="262"/>
      <c r="BB599" s="262"/>
      <c r="BC599" s="262"/>
      <c r="BD599" s="262"/>
      <c r="BE599" s="262"/>
      <c r="BF599" s="262"/>
      <c r="BG599" s="262"/>
      <c r="BH599" s="262"/>
      <c r="BI599" s="262"/>
      <c r="BJ599" s="262"/>
      <c r="BK599" s="262"/>
      <c r="BL599" s="262"/>
      <c r="BM599" s="262"/>
      <c r="BN599" s="262"/>
      <c r="BO599" s="262"/>
      <c r="BP599" s="262"/>
      <c r="BQ599" s="262"/>
      <c r="BR599" s="262"/>
      <c r="BS599" s="262"/>
      <c r="BT599" s="262"/>
      <c r="BU599" s="262"/>
      <c r="BV599" s="262"/>
      <c r="BW599" s="262"/>
      <c r="BX599" s="262"/>
      <c r="BY599" s="262"/>
      <c r="BZ599" s="262"/>
      <c r="CA599" s="262"/>
      <c r="CB599" s="262"/>
      <c r="CC599" s="262"/>
      <c r="CD599" s="262"/>
      <c r="CE599" s="262"/>
      <c r="CF599" s="262"/>
      <c r="CG599" s="262"/>
      <c r="CH599" s="262"/>
      <c r="CI599" s="262"/>
      <c r="CJ599" s="262"/>
      <c r="CK599" s="262"/>
      <c r="CL599" s="262"/>
      <c r="CM599" s="262"/>
      <c r="CN599" s="262"/>
      <c r="CO599" s="262"/>
      <c r="CP599" s="262"/>
      <c r="CQ599" s="262"/>
      <c r="CR599" s="262"/>
      <c r="CS599" s="262"/>
      <c r="CT599" s="262"/>
      <c r="CU599" s="262"/>
      <c r="CV599" s="262"/>
    </row>
    <row r="600" spans="33:100">
      <c r="AG600" s="262"/>
      <c r="AH600" s="262"/>
      <c r="AI600" s="262"/>
      <c r="AJ600" s="262"/>
      <c r="AK600" s="262"/>
      <c r="AL600" s="262"/>
      <c r="AM600" s="262"/>
      <c r="AN600" s="262"/>
      <c r="AO600" s="262"/>
      <c r="AP600" s="262"/>
      <c r="AQ600" s="262"/>
      <c r="AR600" s="262"/>
      <c r="AS600" s="262"/>
      <c r="AT600" s="262"/>
      <c r="AU600" s="262"/>
      <c r="AV600" s="262"/>
      <c r="AW600" s="262"/>
      <c r="AX600" s="262"/>
      <c r="AY600" s="262"/>
      <c r="AZ600" s="262"/>
      <c r="BA600" s="262"/>
      <c r="BB600" s="262"/>
      <c r="BC600" s="262"/>
      <c r="BD600" s="262"/>
      <c r="BE600" s="262"/>
      <c r="BF600" s="262"/>
      <c r="BG600" s="262"/>
      <c r="BH600" s="262"/>
      <c r="BI600" s="262"/>
      <c r="BJ600" s="262"/>
      <c r="BK600" s="262"/>
      <c r="BL600" s="262"/>
      <c r="BM600" s="262"/>
      <c r="BN600" s="262"/>
      <c r="BO600" s="262"/>
      <c r="BP600" s="262"/>
      <c r="BQ600" s="262"/>
      <c r="BR600" s="262"/>
      <c r="BS600" s="262"/>
      <c r="BT600" s="262"/>
      <c r="BU600" s="262"/>
      <c r="BV600" s="262"/>
      <c r="BW600" s="262"/>
      <c r="BX600" s="262"/>
      <c r="BY600" s="262"/>
      <c r="BZ600" s="262"/>
      <c r="CA600" s="262"/>
      <c r="CB600" s="262"/>
      <c r="CC600" s="262"/>
      <c r="CD600" s="262"/>
      <c r="CE600" s="262"/>
      <c r="CF600" s="262"/>
      <c r="CG600" s="262"/>
      <c r="CH600" s="262"/>
      <c r="CI600" s="262"/>
      <c r="CJ600" s="262"/>
      <c r="CK600" s="262"/>
      <c r="CL600" s="262"/>
      <c r="CM600" s="262"/>
      <c r="CN600" s="262"/>
      <c r="CO600" s="262"/>
      <c r="CP600" s="262"/>
      <c r="CQ600" s="262"/>
      <c r="CR600" s="262"/>
      <c r="CS600" s="262"/>
      <c r="CT600" s="262"/>
      <c r="CU600" s="262"/>
      <c r="CV600" s="262"/>
    </row>
    <row r="601" spans="33:100">
      <c r="AG601" s="262"/>
      <c r="AH601" s="262"/>
      <c r="AI601" s="262"/>
      <c r="AJ601" s="262"/>
      <c r="AK601" s="262"/>
      <c r="AL601" s="262"/>
      <c r="AM601" s="262"/>
      <c r="AN601" s="262"/>
      <c r="AO601" s="262"/>
      <c r="AP601" s="262"/>
      <c r="AQ601" s="262"/>
      <c r="AR601" s="262"/>
      <c r="AS601" s="262"/>
      <c r="AT601" s="262"/>
      <c r="AU601" s="262"/>
      <c r="AV601" s="262"/>
      <c r="AW601" s="262"/>
      <c r="AX601" s="262"/>
      <c r="AY601" s="262"/>
      <c r="AZ601" s="262"/>
      <c r="BA601" s="262"/>
      <c r="BB601" s="262"/>
      <c r="BC601" s="262"/>
      <c r="BD601" s="262"/>
      <c r="BE601" s="262"/>
      <c r="BF601" s="262"/>
      <c r="BG601" s="262"/>
      <c r="BH601" s="262"/>
      <c r="BI601" s="262"/>
      <c r="BJ601" s="262"/>
      <c r="BK601" s="262"/>
      <c r="BL601" s="262"/>
      <c r="BM601" s="262"/>
      <c r="BN601" s="262"/>
      <c r="BO601" s="262"/>
      <c r="BP601" s="262"/>
      <c r="BQ601" s="262"/>
      <c r="BR601" s="262"/>
      <c r="BS601" s="262"/>
      <c r="BT601" s="262"/>
      <c r="BU601" s="262"/>
      <c r="BV601" s="262"/>
      <c r="BW601" s="262"/>
      <c r="BX601" s="262"/>
      <c r="BY601" s="262"/>
      <c r="BZ601" s="262"/>
      <c r="CA601" s="262"/>
      <c r="CB601" s="262"/>
      <c r="CC601" s="262"/>
      <c r="CD601" s="262"/>
      <c r="CE601" s="262"/>
      <c r="CF601" s="262"/>
      <c r="CG601" s="262"/>
      <c r="CH601" s="262"/>
      <c r="CI601" s="262"/>
      <c r="CJ601" s="262"/>
      <c r="CK601" s="262"/>
      <c r="CL601" s="262"/>
      <c r="CM601" s="262"/>
      <c r="CN601" s="262"/>
      <c r="CO601" s="262"/>
      <c r="CP601" s="262"/>
      <c r="CQ601" s="262"/>
      <c r="CR601" s="262"/>
      <c r="CS601" s="262"/>
      <c r="CT601" s="262"/>
      <c r="CU601" s="262"/>
      <c r="CV601" s="262"/>
    </row>
    <row r="602" spans="33:100">
      <c r="AG602" s="262"/>
      <c r="AH602" s="262"/>
      <c r="AI602" s="262"/>
      <c r="AJ602" s="262"/>
      <c r="AK602" s="262"/>
      <c r="AL602" s="262"/>
      <c r="AM602" s="262"/>
      <c r="AN602" s="262"/>
      <c r="AO602" s="262"/>
      <c r="AP602" s="262"/>
      <c r="AQ602" s="262"/>
      <c r="AR602" s="262"/>
      <c r="AS602" s="262"/>
      <c r="AT602" s="262"/>
      <c r="AU602" s="262"/>
      <c r="AV602" s="262"/>
      <c r="AW602" s="262"/>
      <c r="AX602" s="262"/>
      <c r="AY602" s="262"/>
      <c r="AZ602" s="262"/>
      <c r="BA602" s="262"/>
      <c r="BB602" s="262"/>
      <c r="BC602" s="262"/>
      <c r="BD602" s="262"/>
      <c r="BE602" s="262"/>
      <c r="BF602" s="262"/>
      <c r="BG602" s="262"/>
      <c r="BH602" s="262"/>
      <c r="BI602" s="262"/>
      <c r="BJ602" s="262"/>
      <c r="BK602" s="262"/>
      <c r="BL602" s="262"/>
      <c r="BM602" s="262"/>
      <c r="BN602" s="262"/>
      <c r="BO602" s="262"/>
      <c r="BP602" s="262"/>
      <c r="BQ602" s="262"/>
      <c r="BR602" s="262"/>
      <c r="BS602" s="262"/>
      <c r="BT602" s="262"/>
      <c r="BU602" s="262"/>
      <c r="BV602" s="262"/>
      <c r="BW602" s="262"/>
      <c r="BX602" s="262"/>
      <c r="BY602" s="262"/>
      <c r="BZ602" s="262"/>
      <c r="CA602" s="262"/>
      <c r="CB602" s="262"/>
      <c r="CC602" s="262"/>
      <c r="CD602" s="262"/>
      <c r="CE602" s="262"/>
      <c r="CF602" s="262"/>
      <c r="CG602" s="262"/>
      <c r="CH602" s="262"/>
      <c r="CI602" s="262"/>
      <c r="CJ602" s="262"/>
      <c r="CK602" s="262"/>
      <c r="CL602" s="262"/>
      <c r="CM602" s="262"/>
      <c r="CN602" s="262"/>
      <c r="CO602" s="262"/>
      <c r="CP602" s="262"/>
      <c r="CQ602" s="262"/>
      <c r="CR602" s="262"/>
      <c r="CS602" s="262"/>
      <c r="CT602" s="262"/>
      <c r="CU602" s="262"/>
      <c r="CV602" s="262"/>
    </row>
    <row r="603" spans="33:100">
      <c r="AG603" s="262"/>
      <c r="AH603" s="262"/>
      <c r="AI603" s="262"/>
      <c r="AJ603" s="262"/>
      <c r="AK603" s="262"/>
      <c r="AL603" s="262"/>
      <c r="AM603" s="262"/>
      <c r="AN603" s="262"/>
      <c r="AO603" s="262"/>
      <c r="AP603" s="262"/>
      <c r="AQ603" s="262"/>
      <c r="AR603" s="262"/>
      <c r="AS603" s="262"/>
      <c r="AT603" s="262"/>
      <c r="AU603" s="262"/>
      <c r="AV603" s="262"/>
      <c r="AW603" s="262"/>
      <c r="AX603" s="262"/>
      <c r="AY603" s="262"/>
      <c r="AZ603" s="262"/>
      <c r="BA603" s="262"/>
      <c r="BB603" s="262"/>
      <c r="BC603" s="262"/>
      <c r="BD603" s="262"/>
      <c r="BE603" s="262"/>
      <c r="BF603" s="262"/>
      <c r="BG603" s="262"/>
      <c r="BH603" s="262"/>
      <c r="BI603" s="262"/>
      <c r="BJ603" s="262"/>
      <c r="BK603" s="262"/>
      <c r="BL603" s="262"/>
      <c r="BM603" s="262"/>
      <c r="BN603" s="262"/>
      <c r="BO603" s="262"/>
      <c r="BP603" s="262"/>
      <c r="BQ603" s="262"/>
      <c r="BR603" s="262"/>
      <c r="BS603" s="262"/>
      <c r="BT603" s="262"/>
      <c r="BU603" s="262"/>
      <c r="BV603" s="262"/>
      <c r="BW603" s="262"/>
      <c r="BX603" s="262"/>
      <c r="BY603" s="262"/>
      <c r="BZ603" s="262"/>
      <c r="CA603" s="262"/>
      <c r="CB603" s="262"/>
      <c r="CC603" s="262"/>
      <c r="CD603" s="262"/>
      <c r="CE603" s="262"/>
      <c r="CF603" s="262"/>
      <c r="CG603" s="262"/>
      <c r="CH603" s="262"/>
      <c r="CI603" s="262"/>
      <c r="CJ603" s="262"/>
      <c r="CK603" s="262"/>
      <c r="CL603" s="262"/>
      <c r="CM603" s="262"/>
      <c r="CN603" s="262"/>
      <c r="CO603" s="262"/>
      <c r="CP603" s="262"/>
      <c r="CQ603" s="262"/>
      <c r="CR603" s="262"/>
      <c r="CS603" s="262"/>
      <c r="CT603" s="262"/>
      <c r="CU603" s="262"/>
      <c r="CV603" s="262"/>
    </row>
    <row r="604" spans="33:100">
      <c r="AG604" s="262"/>
      <c r="AH604" s="262"/>
      <c r="AI604" s="262"/>
      <c r="AJ604" s="262"/>
      <c r="AK604" s="262"/>
      <c r="AL604" s="262"/>
      <c r="AM604" s="262"/>
      <c r="AN604" s="262"/>
      <c r="AO604" s="262"/>
      <c r="AP604" s="262"/>
      <c r="AQ604" s="262"/>
      <c r="AR604" s="262"/>
      <c r="AS604" s="262"/>
      <c r="AT604" s="262"/>
      <c r="AU604" s="262"/>
      <c r="AV604" s="262"/>
      <c r="AW604" s="262"/>
      <c r="AX604" s="262"/>
      <c r="AY604" s="262"/>
      <c r="AZ604" s="262"/>
      <c r="BA604" s="262"/>
      <c r="BB604" s="262"/>
      <c r="BC604" s="262"/>
      <c r="BD604" s="262"/>
      <c r="BE604" s="262"/>
      <c r="BF604" s="262"/>
      <c r="BG604" s="262"/>
      <c r="BH604" s="262"/>
      <c r="BI604" s="262"/>
      <c r="BJ604" s="262"/>
      <c r="BK604" s="262"/>
      <c r="BL604" s="262"/>
      <c r="BM604" s="262"/>
      <c r="BN604" s="262"/>
      <c r="BO604" s="262"/>
      <c r="BP604" s="262"/>
      <c r="BQ604" s="262"/>
      <c r="BR604" s="262"/>
      <c r="BS604" s="262"/>
      <c r="BT604" s="262"/>
      <c r="BU604" s="262"/>
      <c r="BV604" s="262"/>
      <c r="BW604" s="262"/>
      <c r="BX604" s="262"/>
      <c r="BY604" s="262"/>
      <c r="BZ604" s="262"/>
      <c r="CA604" s="262"/>
      <c r="CB604" s="262"/>
      <c r="CC604" s="262"/>
      <c r="CD604" s="262"/>
      <c r="CE604" s="262"/>
      <c r="CF604" s="262"/>
      <c r="CG604" s="262"/>
      <c r="CH604" s="262"/>
      <c r="CI604" s="262"/>
      <c r="CJ604" s="262"/>
      <c r="CK604" s="262"/>
      <c r="CL604" s="262"/>
      <c r="CM604" s="262"/>
      <c r="CN604" s="262"/>
      <c r="CO604" s="262"/>
      <c r="CP604" s="262"/>
      <c r="CQ604" s="262"/>
      <c r="CR604" s="262"/>
      <c r="CS604" s="262"/>
      <c r="CT604" s="262"/>
      <c r="CU604" s="262"/>
      <c r="CV604" s="262"/>
    </row>
    <row r="605" spans="33:100">
      <c r="AG605" s="262"/>
      <c r="AH605" s="262"/>
      <c r="AI605" s="262"/>
      <c r="AJ605" s="262"/>
      <c r="AK605" s="262"/>
      <c r="AL605" s="262"/>
      <c r="AM605" s="262"/>
      <c r="AN605" s="262"/>
      <c r="AO605" s="262"/>
      <c r="AP605" s="262"/>
      <c r="AQ605" s="262"/>
      <c r="AR605" s="262"/>
      <c r="AS605" s="262"/>
      <c r="AT605" s="262"/>
      <c r="AU605" s="262"/>
      <c r="AV605" s="262"/>
      <c r="AW605" s="262"/>
      <c r="AX605" s="262"/>
      <c r="AY605" s="262"/>
      <c r="AZ605" s="262"/>
      <c r="BA605" s="262"/>
      <c r="BB605" s="262"/>
      <c r="BC605" s="262"/>
      <c r="BD605" s="262"/>
      <c r="BE605" s="262"/>
      <c r="BF605" s="262"/>
      <c r="BG605" s="262"/>
      <c r="BH605" s="262"/>
      <c r="BI605" s="262"/>
      <c r="BJ605" s="262"/>
      <c r="BK605" s="262"/>
      <c r="BL605" s="262"/>
      <c r="BM605" s="262"/>
      <c r="BN605" s="262"/>
      <c r="BO605" s="262"/>
      <c r="BP605" s="262"/>
      <c r="BQ605" s="262"/>
      <c r="BR605" s="262"/>
      <c r="BS605" s="262"/>
      <c r="BT605" s="262"/>
      <c r="BU605" s="262"/>
      <c r="BV605" s="262"/>
      <c r="BW605" s="262"/>
      <c r="BX605" s="262"/>
      <c r="BY605" s="262"/>
      <c r="BZ605" s="262"/>
      <c r="CA605" s="262"/>
      <c r="CB605" s="262"/>
      <c r="CC605" s="262"/>
      <c r="CD605" s="262"/>
      <c r="CE605" s="262"/>
      <c r="CF605" s="262"/>
      <c r="CG605" s="262"/>
      <c r="CH605" s="262"/>
      <c r="CI605" s="262"/>
      <c r="CJ605" s="262"/>
      <c r="CK605" s="262"/>
      <c r="CL605" s="262"/>
      <c r="CM605" s="262"/>
      <c r="CN605" s="262"/>
      <c r="CO605" s="262"/>
      <c r="CP605" s="262"/>
      <c r="CQ605" s="262"/>
      <c r="CR605" s="262"/>
      <c r="CS605" s="262"/>
      <c r="CT605" s="262"/>
      <c r="CU605" s="262"/>
      <c r="CV605" s="262"/>
    </row>
    <row r="606" spans="33:100">
      <c r="AG606" s="262"/>
      <c r="AH606" s="262"/>
      <c r="AI606" s="262"/>
      <c r="AJ606" s="262"/>
      <c r="AK606" s="262"/>
      <c r="AL606" s="262"/>
      <c r="AM606" s="262"/>
      <c r="AN606" s="262"/>
      <c r="AO606" s="262"/>
      <c r="AP606" s="262"/>
      <c r="AQ606" s="262"/>
      <c r="AR606" s="262"/>
      <c r="AS606" s="262"/>
      <c r="AT606" s="262"/>
      <c r="AU606" s="262"/>
      <c r="AV606" s="262"/>
      <c r="AW606" s="262"/>
      <c r="AX606" s="262"/>
      <c r="AY606" s="262"/>
      <c r="AZ606" s="262"/>
      <c r="BA606" s="262"/>
      <c r="BB606" s="262"/>
      <c r="BC606" s="262"/>
      <c r="BD606" s="262"/>
      <c r="BE606" s="262"/>
      <c r="BF606" s="262"/>
      <c r="BG606" s="262"/>
      <c r="BH606" s="262"/>
      <c r="BI606" s="262"/>
      <c r="BJ606" s="262"/>
      <c r="BK606" s="262"/>
      <c r="BL606" s="262"/>
      <c r="BM606" s="262"/>
      <c r="BN606" s="262"/>
      <c r="BO606" s="262"/>
      <c r="BP606" s="262"/>
      <c r="BQ606" s="262"/>
      <c r="BR606" s="262"/>
      <c r="BS606" s="262"/>
      <c r="BT606" s="262"/>
      <c r="BU606" s="262"/>
      <c r="BV606" s="262"/>
      <c r="BW606" s="262"/>
      <c r="BX606" s="262"/>
      <c r="BY606" s="262"/>
      <c r="BZ606" s="262"/>
      <c r="CA606" s="262"/>
      <c r="CB606" s="262"/>
      <c r="CC606" s="262"/>
      <c r="CD606" s="262"/>
      <c r="CE606" s="262"/>
      <c r="CF606" s="262"/>
      <c r="CG606" s="262"/>
      <c r="CH606" s="262"/>
      <c r="CI606" s="262"/>
      <c r="CJ606" s="262"/>
      <c r="CK606" s="262"/>
      <c r="CL606" s="262"/>
      <c r="CM606" s="262"/>
      <c r="CN606" s="262"/>
      <c r="CO606" s="262"/>
      <c r="CP606" s="262"/>
      <c r="CQ606" s="262"/>
      <c r="CR606" s="262"/>
      <c r="CS606" s="262"/>
      <c r="CT606" s="262"/>
      <c r="CU606" s="262"/>
      <c r="CV606" s="262"/>
    </row>
    <row r="607" spans="33:100">
      <c r="AG607" s="262"/>
      <c r="AH607" s="262"/>
      <c r="AI607" s="262"/>
      <c r="AJ607" s="262"/>
      <c r="AK607" s="262"/>
      <c r="AL607" s="262"/>
      <c r="AM607" s="262"/>
      <c r="AN607" s="262"/>
      <c r="AO607" s="262"/>
      <c r="AP607" s="262"/>
      <c r="AQ607" s="262"/>
      <c r="AR607" s="262"/>
      <c r="AS607" s="262"/>
      <c r="AT607" s="262"/>
      <c r="AU607" s="262"/>
      <c r="AV607" s="262"/>
      <c r="AW607" s="262"/>
      <c r="AX607" s="262"/>
      <c r="AY607" s="262"/>
      <c r="AZ607" s="262"/>
      <c r="BA607" s="262"/>
      <c r="BB607" s="262"/>
      <c r="BC607" s="262"/>
      <c r="BD607" s="262"/>
      <c r="BE607" s="262"/>
      <c r="BF607" s="262"/>
      <c r="BG607" s="262"/>
      <c r="BH607" s="262"/>
      <c r="BI607" s="262"/>
      <c r="BJ607" s="262"/>
      <c r="BK607" s="262"/>
      <c r="BL607" s="262"/>
      <c r="BM607" s="262"/>
      <c r="BN607" s="262"/>
      <c r="BO607" s="262"/>
      <c r="BP607" s="262"/>
      <c r="BQ607" s="262"/>
      <c r="BR607" s="262"/>
      <c r="BS607" s="262"/>
      <c r="BT607" s="262"/>
      <c r="BU607" s="262"/>
      <c r="BV607" s="262"/>
      <c r="BW607" s="262"/>
      <c r="BX607" s="262"/>
      <c r="BY607" s="262"/>
      <c r="BZ607" s="262"/>
      <c r="CA607" s="262"/>
      <c r="CB607" s="262"/>
      <c r="CC607" s="262"/>
      <c r="CD607" s="262"/>
      <c r="CE607" s="262"/>
      <c r="CF607" s="262"/>
      <c r="CG607" s="262"/>
      <c r="CH607" s="262"/>
      <c r="CI607" s="262"/>
      <c r="CJ607" s="262"/>
      <c r="CK607" s="262"/>
      <c r="CL607" s="262"/>
      <c r="CM607" s="262"/>
      <c r="CN607" s="262"/>
      <c r="CO607" s="262"/>
      <c r="CP607" s="262"/>
      <c r="CQ607" s="262"/>
      <c r="CR607" s="262"/>
      <c r="CS607" s="262"/>
      <c r="CT607" s="262"/>
      <c r="CU607" s="262"/>
      <c r="CV607" s="262"/>
    </row>
    <row r="608" spans="33:100">
      <c r="AG608" s="262"/>
      <c r="AH608" s="262"/>
      <c r="AI608" s="262"/>
      <c r="AJ608" s="262"/>
      <c r="AK608" s="262"/>
      <c r="AL608" s="262"/>
      <c r="AM608" s="262"/>
      <c r="AN608" s="262"/>
      <c r="AO608" s="262"/>
      <c r="AP608" s="262"/>
      <c r="AQ608" s="262"/>
      <c r="AR608" s="262"/>
      <c r="AS608" s="262"/>
      <c r="AT608" s="262"/>
      <c r="AU608" s="262"/>
      <c r="AV608" s="262"/>
      <c r="AW608" s="262"/>
      <c r="AX608" s="262"/>
      <c r="AY608" s="262"/>
      <c r="AZ608" s="262"/>
      <c r="BA608" s="262"/>
      <c r="BB608" s="262"/>
      <c r="BC608" s="262"/>
      <c r="BD608" s="262"/>
      <c r="BE608" s="262"/>
      <c r="BF608" s="262"/>
      <c r="BG608" s="262"/>
      <c r="BH608" s="262"/>
      <c r="BI608" s="262"/>
      <c r="BJ608" s="262"/>
      <c r="BK608" s="262"/>
      <c r="BL608" s="262"/>
      <c r="BM608" s="262"/>
      <c r="BN608" s="262"/>
      <c r="BO608" s="262"/>
      <c r="BP608" s="262"/>
      <c r="BQ608" s="262"/>
      <c r="BR608" s="262"/>
      <c r="BS608" s="262"/>
      <c r="BT608" s="262"/>
      <c r="BU608" s="262"/>
      <c r="BV608" s="262"/>
      <c r="BW608" s="262"/>
      <c r="BX608" s="262"/>
      <c r="BY608" s="262"/>
      <c r="BZ608" s="262"/>
      <c r="CA608" s="262"/>
      <c r="CB608" s="262"/>
      <c r="CC608" s="262"/>
      <c r="CD608" s="262"/>
      <c r="CE608" s="262"/>
      <c r="CF608" s="262"/>
      <c r="CG608" s="262"/>
      <c r="CH608" s="262"/>
      <c r="CI608" s="262"/>
      <c r="CJ608" s="262"/>
      <c r="CK608" s="262"/>
      <c r="CL608" s="262"/>
      <c r="CM608" s="262"/>
      <c r="CN608" s="262"/>
      <c r="CO608" s="262"/>
      <c r="CP608" s="262"/>
      <c r="CQ608" s="262"/>
      <c r="CR608" s="262"/>
      <c r="CS608" s="262"/>
      <c r="CT608" s="262"/>
      <c r="CU608" s="262"/>
      <c r="CV608" s="262"/>
    </row>
    <row r="609" spans="33:100">
      <c r="AG609" s="262"/>
      <c r="AH609" s="262"/>
      <c r="AI609" s="262"/>
      <c r="AJ609" s="262"/>
      <c r="AK609" s="262"/>
      <c r="AL609" s="262"/>
      <c r="AM609" s="262"/>
      <c r="AN609" s="262"/>
      <c r="AO609" s="262"/>
      <c r="AP609" s="262"/>
      <c r="AQ609" s="262"/>
      <c r="AR609" s="262"/>
      <c r="AS609" s="262"/>
      <c r="AT609" s="262"/>
      <c r="AU609" s="262"/>
      <c r="AV609" s="262"/>
      <c r="AW609" s="262"/>
      <c r="AX609" s="262"/>
      <c r="AY609" s="262"/>
      <c r="AZ609" s="262"/>
      <c r="BA609" s="262"/>
      <c r="BB609" s="262"/>
      <c r="BC609" s="262"/>
      <c r="BD609" s="262"/>
      <c r="BE609" s="262"/>
      <c r="BF609" s="262"/>
      <c r="BG609" s="262"/>
      <c r="BH609" s="262"/>
      <c r="BI609" s="262"/>
      <c r="BJ609" s="262"/>
      <c r="BK609" s="262"/>
      <c r="BL609" s="262"/>
      <c r="BM609" s="262"/>
      <c r="BN609" s="262"/>
      <c r="BO609" s="262"/>
      <c r="BP609" s="262"/>
      <c r="BQ609" s="262"/>
      <c r="BR609" s="262"/>
      <c r="BS609" s="262"/>
      <c r="BT609" s="262"/>
      <c r="BU609" s="262"/>
      <c r="BV609" s="262"/>
      <c r="BW609" s="262"/>
      <c r="BX609" s="262"/>
      <c r="BY609" s="262"/>
      <c r="BZ609" s="262"/>
      <c r="CA609" s="262"/>
      <c r="CB609" s="262"/>
      <c r="CC609" s="262"/>
      <c r="CD609" s="262"/>
      <c r="CE609" s="262"/>
      <c r="CF609" s="262"/>
      <c r="CG609" s="262"/>
      <c r="CH609" s="262"/>
      <c r="CI609" s="262"/>
      <c r="CJ609" s="262"/>
      <c r="CK609" s="262"/>
      <c r="CL609" s="262"/>
      <c r="CM609" s="262"/>
      <c r="CN609" s="262"/>
      <c r="CO609" s="262"/>
      <c r="CP609" s="262"/>
      <c r="CQ609" s="262"/>
      <c r="CR609" s="262"/>
      <c r="CS609" s="262"/>
      <c r="CT609" s="262"/>
      <c r="CU609" s="262"/>
      <c r="CV609" s="262"/>
    </row>
    <row r="610" spans="33:100">
      <c r="AG610" s="262"/>
      <c r="AH610" s="262"/>
      <c r="AI610" s="262"/>
      <c r="AJ610" s="262"/>
      <c r="AK610" s="262"/>
      <c r="AL610" s="262"/>
      <c r="AM610" s="262"/>
      <c r="AN610" s="262"/>
      <c r="AO610" s="262"/>
      <c r="AP610" s="262"/>
      <c r="AQ610" s="262"/>
      <c r="AR610" s="262"/>
      <c r="AS610" s="262"/>
      <c r="AT610" s="262"/>
      <c r="AU610" s="262"/>
      <c r="AV610" s="262"/>
      <c r="AW610" s="262"/>
      <c r="AX610" s="262"/>
      <c r="AY610" s="262"/>
      <c r="AZ610" s="262"/>
      <c r="BA610" s="262"/>
      <c r="BB610" s="262"/>
      <c r="BC610" s="262"/>
      <c r="BD610" s="262"/>
      <c r="BE610" s="262"/>
      <c r="BF610" s="262"/>
      <c r="BG610" s="262"/>
      <c r="BH610" s="262"/>
      <c r="BI610" s="262"/>
      <c r="BJ610" s="262"/>
      <c r="BK610" s="262"/>
      <c r="BL610" s="262"/>
      <c r="BM610" s="262"/>
      <c r="BN610" s="262"/>
      <c r="BO610" s="262"/>
      <c r="BP610" s="262"/>
      <c r="BQ610" s="262"/>
      <c r="BR610" s="262"/>
      <c r="BS610" s="262"/>
      <c r="BT610" s="262"/>
      <c r="BU610" s="262"/>
      <c r="BV610" s="262"/>
      <c r="BW610" s="262"/>
      <c r="BX610" s="262"/>
      <c r="BY610" s="262"/>
      <c r="BZ610" s="262"/>
      <c r="CA610" s="262"/>
      <c r="CB610" s="262"/>
      <c r="CC610" s="262"/>
      <c r="CD610" s="262"/>
      <c r="CE610" s="262"/>
      <c r="CF610" s="262"/>
      <c r="CG610" s="262"/>
      <c r="CH610" s="262"/>
      <c r="CI610" s="262"/>
      <c r="CJ610" s="262"/>
      <c r="CK610" s="262"/>
      <c r="CL610" s="262"/>
      <c r="CM610" s="262"/>
      <c r="CN610" s="262"/>
      <c r="CO610" s="262"/>
      <c r="CP610" s="262"/>
      <c r="CQ610" s="262"/>
      <c r="CR610" s="262"/>
      <c r="CS610" s="262"/>
      <c r="CT610" s="262"/>
      <c r="CU610" s="262"/>
      <c r="CV610" s="262"/>
    </row>
    <row r="611" spans="33:100">
      <c r="AG611" s="262"/>
      <c r="AH611" s="262"/>
      <c r="AI611" s="262"/>
      <c r="AJ611" s="262"/>
      <c r="AK611" s="262"/>
      <c r="AL611" s="262"/>
      <c r="AM611" s="262"/>
      <c r="AN611" s="262"/>
      <c r="AO611" s="262"/>
      <c r="AP611" s="262"/>
      <c r="AQ611" s="262"/>
      <c r="AR611" s="262"/>
      <c r="AS611" s="262"/>
      <c r="AT611" s="262"/>
      <c r="AU611" s="262"/>
      <c r="AV611" s="262"/>
      <c r="AW611" s="262"/>
      <c r="AX611" s="262"/>
      <c r="AY611" s="262"/>
      <c r="AZ611" s="262"/>
      <c r="BA611" s="262"/>
      <c r="BB611" s="262"/>
      <c r="BC611" s="262"/>
      <c r="BD611" s="262"/>
      <c r="BE611" s="262"/>
      <c r="BF611" s="262"/>
      <c r="BG611" s="262"/>
      <c r="BH611" s="262"/>
      <c r="BI611" s="262"/>
      <c r="BJ611" s="262"/>
      <c r="BK611" s="262"/>
      <c r="BL611" s="262"/>
      <c r="BM611" s="262"/>
      <c r="BN611" s="262"/>
      <c r="BO611" s="262"/>
      <c r="BP611" s="262"/>
      <c r="BQ611" s="262"/>
      <c r="BR611" s="262"/>
      <c r="BS611" s="262"/>
      <c r="BT611" s="262"/>
      <c r="BU611" s="262"/>
      <c r="BV611" s="262"/>
      <c r="BW611" s="262"/>
      <c r="BX611" s="262"/>
      <c r="BY611" s="262"/>
      <c r="BZ611" s="262"/>
      <c r="CA611" s="262"/>
      <c r="CB611" s="262"/>
      <c r="CC611" s="262"/>
      <c r="CD611" s="262"/>
      <c r="CE611" s="262"/>
      <c r="CF611" s="262"/>
      <c r="CG611" s="262"/>
      <c r="CH611" s="262"/>
      <c r="CI611" s="262"/>
      <c r="CJ611" s="262"/>
      <c r="CK611" s="262"/>
      <c r="CL611" s="262"/>
      <c r="CM611" s="262"/>
      <c r="CN611" s="262"/>
      <c r="CO611" s="262"/>
      <c r="CP611" s="262"/>
      <c r="CQ611" s="262"/>
      <c r="CR611" s="262"/>
      <c r="CS611" s="262"/>
      <c r="CT611" s="262"/>
      <c r="CU611" s="262"/>
      <c r="CV611" s="262"/>
    </row>
    <row r="612" spans="33:100">
      <c r="AG612" s="262"/>
      <c r="AH612" s="262"/>
      <c r="AI612" s="262"/>
      <c r="AJ612" s="262"/>
      <c r="AK612" s="262"/>
      <c r="AL612" s="262"/>
      <c r="AM612" s="262"/>
      <c r="AN612" s="262"/>
      <c r="AO612" s="262"/>
      <c r="AP612" s="262"/>
      <c r="AQ612" s="262"/>
      <c r="AR612" s="262"/>
      <c r="AS612" s="262"/>
      <c r="AT612" s="262"/>
      <c r="AU612" s="262"/>
      <c r="AV612" s="262"/>
      <c r="AW612" s="262"/>
      <c r="AX612" s="262"/>
      <c r="AY612" s="262"/>
      <c r="AZ612" s="262"/>
      <c r="BA612" s="262"/>
      <c r="BB612" s="262"/>
      <c r="BC612" s="262"/>
      <c r="BD612" s="262"/>
      <c r="BE612" s="262"/>
      <c r="BF612" s="262"/>
      <c r="BG612" s="262"/>
      <c r="BH612" s="262"/>
      <c r="BI612" s="262"/>
      <c r="BJ612" s="262"/>
      <c r="BK612" s="262"/>
      <c r="BL612" s="262"/>
      <c r="BM612" s="262"/>
      <c r="BN612" s="262"/>
      <c r="BO612" s="262"/>
      <c r="BP612" s="262"/>
      <c r="BQ612" s="262"/>
      <c r="BR612" s="262"/>
      <c r="BS612" s="262"/>
      <c r="BT612" s="262"/>
      <c r="BU612" s="262"/>
      <c r="BV612" s="262"/>
      <c r="BW612" s="262"/>
      <c r="BX612" s="262"/>
      <c r="BY612" s="262"/>
      <c r="BZ612" s="262"/>
      <c r="CA612" s="262"/>
      <c r="CB612" s="262"/>
      <c r="CC612" s="262"/>
      <c r="CD612" s="262"/>
      <c r="CE612" s="262"/>
      <c r="CF612" s="262"/>
      <c r="CG612" s="262"/>
      <c r="CH612" s="262"/>
      <c r="CI612" s="262"/>
      <c r="CJ612" s="262"/>
      <c r="CK612" s="262"/>
      <c r="CL612" s="262"/>
      <c r="CM612" s="262"/>
      <c r="CN612" s="262"/>
      <c r="CO612" s="262"/>
      <c r="CP612" s="262"/>
      <c r="CQ612" s="262"/>
      <c r="CR612" s="262"/>
      <c r="CS612" s="262"/>
      <c r="CT612" s="262"/>
      <c r="CU612" s="262"/>
      <c r="CV612" s="262"/>
    </row>
    <row r="613" spans="33:100">
      <c r="AG613" s="262"/>
      <c r="AH613" s="262"/>
      <c r="AI613" s="262"/>
      <c r="AJ613" s="262"/>
      <c r="AK613" s="262"/>
      <c r="AL613" s="262"/>
      <c r="AM613" s="262"/>
      <c r="AN613" s="262"/>
      <c r="AO613" s="262"/>
      <c r="AP613" s="262"/>
      <c r="AQ613" s="262"/>
      <c r="AR613" s="262"/>
      <c r="AS613" s="262"/>
      <c r="AT613" s="262"/>
      <c r="AU613" s="262"/>
      <c r="AV613" s="262"/>
      <c r="AW613" s="262"/>
      <c r="AX613" s="262"/>
      <c r="AY613" s="262"/>
      <c r="AZ613" s="262"/>
      <c r="BA613" s="262"/>
      <c r="BB613" s="262"/>
      <c r="BC613" s="262"/>
      <c r="BD613" s="262"/>
      <c r="BE613" s="262"/>
      <c r="BF613" s="262"/>
      <c r="BG613" s="262"/>
      <c r="BH613" s="262"/>
      <c r="BI613" s="262"/>
      <c r="BJ613" s="262"/>
      <c r="BK613" s="262"/>
      <c r="BL613" s="262"/>
      <c r="BM613" s="262"/>
      <c r="BN613" s="262"/>
      <c r="BO613" s="262"/>
      <c r="BP613" s="262"/>
      <c r="BQ613" s="262"/>
      <c r="BR613" s="262"/>
      <c r="BS613" s="262"/>
      <c r="BT613" s="262"/>
      <c r="BU613" s="262"/>
      <c r="BV613" s="262"/>
      <c r="BW613" s="262"/>
      <c r="BX613" s="262"/>
      <c r="BY613" s="262"/>
      <c r="BZ613" s="262"/>
      <c r="CA613" s="262"/>
      <c r="CB613" s="262"/>
      <c r="CC613" s="262"/>
      <c r="CD613" s="262"/>
      <c r="CE613" s="262"/>
      <c r="CF613" s="262"/>
      <c r="CG613" s="262"/>
      <c r="CH613" s="262"/>
      <c r="CI613" s="262"/>
      <c r="CJ613" s="262"/>
      <c r="CK613" s="262"/>
      <c r="CL613" s="262"/>
      <c r="CM613" s="262"/>
      <c r="CN613" s="262"/>
      <c r="CO613" s="262"/>
      <c r="CP613" s="262"/>
      <c r="CQ613" s="262"/>
      <c r="CR613" s="262"/>
      <c r="CS613" s="262"/>
      <c r="CT613" s="262"/>
      <c r="CU613" s="262"/>
      <c r="CV613" s="262"/>
    </row>
    <row r="614" spans="33:100">
      <c r="AG614" s="262"/>
      <c r="AH614" s="262"/>
      <c r="AI614" s="262"/>
      <c r="AJ614" s="262"/>
      <c r="AK614" s="262"/>
      <c r="AL614" s="262"/>
      <c r="AM614" s="262"/>
      <c r="AN614" s="262"/>
      <c r="AO614" s="262"/>
      <c r="AP614" s="262"/>
      <c r="AQ614" s="262"/>
      <c r="AR614" s="262"/>
      <c r="AS614" s="262"/>
      <c r="AT614" s="262"/>
      <c r="AU614" s="262"/>
      <c r="AV614" s="262"/>
      <c r="AW614" s="262"/>
      <c r="AX614" s="262"/>
      <c r="AY614" s="262"/>
      <c r="AZ614" s="262"/>
      <c r="BA614" s="262"/>
      <c r="BB614" s="262"/>
      <c r="BC614" s="262"/>
      <c r="BD614" s="262"/>
      <c r="BE614" s="262"/>
      <c r="BF614" s="262"/>
      <c r="BG614" s="262"/>
      <c r="BH614" s="262"/>
      <c r="BI614" s="262"/>
      <c r="BJ614" s="262"/>
      <c r="BK614" s="262"/>
      <c r="BL614" s="262"/>
      <c r="BM614" s="262"/>
      <c r="BN614" s="262"/>
      <c r="BO614" s="262"/>
      <c r="BP614" s="262"/>
      <c r="BQ614" s="262"/>
      <c r="BR614" s="262"/>
      <c r="BS614" s="262"/>
      <c r="BT614" s="262"/>
      <c r="BU614" s="262"/>
      <c r="BV614" s="262"/>
      <c r="BW614" s="262"/>
      <c r="BX614" s="262"/>
      <c r="BY614" s="262"/>
      <c r="BZ614" s="262"/>
      <c r="CA614" s="262"/>
      <c r="CB614" s="262"/>
      <c r="CC614" s="262"/>
      <c r="CD614" s="262"/>
      <c r="CE614" s="262"/>
      <c r="CF614" s="262"/>
      <c r="CG614" s="262"/>
      <c r="CH614" s="262"/>
      <c r="CI614" s="262"/>
      <c r="CJ614" s="262"/>
      <c r="CK614" s="262"/>
      <c r="CL614" s="262"/>
      <c r="CM614" s="262"/>
      <c r="CN614" s="262"/>
      <c r="CO614" s="262"/>
      <c r="CP614" s="262"/>
      <c r="CQ614" s="262"/>
      <c r="CR614" s="262"/>
      <c r="CS614" s="262"/>
      <c r="CT614" s="262"/>
      <c r="CU614" s="262"/>
      <c r="CV614" s="262"/>
    </row>
    <row r="615" spans="33:100">
      <c r="AG615" s="262"/>
      <c r="AH615" s="262"/>
      <c r="AI615" s="262"/>
      <c r="AJ615" s="262"/>
      <c r="AK615" s="262"/>
      <c r="AL615" s="262"/>
      <c r="AM615" s="262"/>
      <c r="AN615" s="262"/>
      <c r="AO615" s="262"/>
      <c r="AP615" s="262"/>
      <c r="AQ615" s="262"/>
      <c r="AR615" s="262"/>
      <c r="AS615" s="262"/>
      <c r="AT615" s="262"/>
      <c r="AU615" s="262"/>
      <c r="AV615" s="262"/>
      <c r="AW615" s="262"/>
      <c r="AX615" s="262"/>
      <c r="AY615" s="262"/>
      <c r="AZ615" s="262"/>
      <c r="BA615" s="262"/>
      <c r="BB615" s="262"/>
      <c r="BC615" s="262"/>
      <c r="BD615" s="262"/>
      <c r="BE615" s="262"/>
      <c r="BF615" s="262"/>
      <c r="BG615" s="262"/>
      <c r="BH615" s="262"/>
      <c r="BI615" s="262"/>
      <c r="BJ615" s="262"/>
      <c r="BK615" s="262"/>
      <c r="BL615" s="262"/>
      <c r="BM615" s="262"/>
      <c r="BN615" s="262"/>
      <c r="BO615" s="262"/>
      <c r="BP615" s="262"/>
      <c r="BQ615" s="262"/>
      <c r="BR615" s="262"/>
      <c r="BS615" s="262"/>
      <c r="BT615" s="262"/>
      <c r="BU615" s="262"/>
      <c r="BV615" s="262"/>
      <c r="BW615" s="262"/>
      <c r="BX615" s="262"/>
      <c r="BY615" s="262"/>
      <c r="BZ615" s="262"/>
      <c r="CA615" s="262"/>
      <c r="CB615" s="262"/>
      <c r="CC615" s="262"/>
      <c r="CD615" s="262"/>
      <c r="CE615" s="262"/>
      <c r="CF615" s="262"/>
      <c r="CG615" s="262"/>
      <c r="CH615" s="262"/>
      <c r="CI615" s="262"/>
      <c r="CJ615" s="262"/>
      <c r="CK615" s="262"/>
      <c r="CL615" s="262"/>
      <c r="CM615" s="262"/>
      <c r="CN615" s="262"/>
      <c r="CO615" s="262"/>
      <c r="CP615" s="262"/>
      <c r="CQ615" s="262"/>
      <c r="CR615" s="262"/>
      <c r="CS615" s="262"/>
      <c r="CT615" s="262"/>
      <c r="CU615" s="262"/>
      <c r="CV615" s="262"/>
    </row>
    <row r="616" spans="33:100">
      <c r="AG616" s="262"/>
      <c r="AH616" s="262"/>
      <c r="AI616" s="262"/>
      <c r="AJ616" s="262"/>
      <c r="AK616" s="262"/>
      <c r="AL616" s="262"/>
      <c r="AM616" s="262"/>
      <c r="AN616" s="262"/>
      <c r="AO616" s="262"/>
      <c r="AP616" s="262"/>
      <c r="AQ616" s="262"/>
      <c r="AR616" s="262"/>
      <c r="AS616" s="262"/>
      <c r="AT616" s="262"/>
      <c r="AU616" s="262"/>
      <c r="AV616" s="262"/>
      <c r="AW616" s="262"/>
      <c r="AX616" s="262"/>
      <c r="AY616" s="262"/>
      <c r="AZ616" s="262"/>
      <c r="BA616" s="262"/>
      <c r="BB616" s="262"/>
      <c r="BC616" s="262"/>
      <c r="BD616" s="262"/>
      <c r="BE616" s="262"/>
      <c r="BF616" s="262"/>
      <c r="BG616" s="262"/>
      <c r="BH616" s="262"/>
      <c r="BI616" s="262"/>
      <c r="BJ616" s="262"/>
      <c r="BK616" s="262"/>
      <c r="BL616" s="262"/>
      <c r="BM616" s="262"/>
      <c r="BN616" s="262"/>
      <c r="BO616" s="262"/>
      <c r="BP616" s="262"/>
      <c r="BQ616" s="262"/>
      <c r="BR616" s="262"/>
      <c r="BS616" s="262"/>
      <c r="BT616" s="262"/>
      <c r="BU616" s="262"/>
      <c r="BV616" s="262"/>
      <c r="BW616" s="262"/>
      <c r="BX616" s="262"/>
      <c r="BY616" s="262"/>
      <c r="BZ616" s="262"/>
      <c r="CA616" s="262"/>
      <c r="CB616" s="262"/>
      <c r="CC616" s="262"/>
      <c r="CD616" s="262"/>
      <c r="CE616" s="262"/>
      <c r="CF616" s="262"/>
      <c r="CG616" s="262"/>
      <c r="CH616" s="262"/>
      <c r="CI616" s="262"/>
      <c r="CJ616" s="262"/>
      <c r="CK616" s="262"/>
      <c r="CL616" s="262"/>
      <c r="CM616" s="262"/>
      <c r="CN616" s="262"/>
      <c r="CO616" s="262"/>
      <c r="CP616" s="262"/>
      <c r="CQ616" s="262"/>
      <c r="CR616" s="262"/>
      <c r="CS616" s="262"/>
      <c r="CT616" s="262"/>
      <c r="CU616" s="262"/>
      <c r="CV616" s="262"/>
    </row>
    <row r="617" spans="33:100">
      <c r="AG617" s="262"/>
      <c r="AH617" s="262"/>
      <c r="AI617" s="262"/>
      <c r="AJ617" s="262"/>
      <c r="AK617" s="262"/>
      <c r="AL617" s="262"/>
      <c r="AM617" s="262"/>
      <c r="AN617" s="262"/>
      <c r="AO617" s="262"/>
      <c r="AP617" s="262"/>
      <c r="AQ617" s="262"/>
      <c r="AR617" s="262"/>
      <c r="AS617" s="262"/>
      <c r="AT617" s="262"/>
      <c r="AU617" s="262"/>
      <c r="AV617" s="262"/>
      <c r="AW617" s="262"/>
      <c r="AX617" s="262"/>
      <c r="AY617" s="262"/>
      <c r="AZ617" s="262"/>
      <c r="BA617" s="262"/>
      <c r="BB617" s="262"/>
      <c r="BC617" s="262"/>
      <c r="BD617" s="262"/>
      <c r="BE617" s="262"/>
      <c r="BF617" s="262"/>
      <c r="BG617" s="262"/>
      <c r="BH617" s="262"/>
      <c r="BI617" s="262"/>
      <c r="BJ617" s="262"/>
      <c r="BK617" s="262"/>
      <c r="BL617" s="262"/>
      <c r="BM617" s="262"/>
      <c r="BN617" s="262"/>
      <c r="BO617" s="262"/>
      <c r="BP617" s="262"/>
      <c r="BQ617" s="262"/>
      <c r="BR617" s="262"/>
      <c r="BS617" s="262"/>
      <c r="BT617" s="262"/>
      <c r="BU617" s="262"/>
      <c r="BV617" s="262"/>
      <c r="BW617" s="262"/>
      <c r="BX617" s="262"/>
      <c r="BY617" s="262"/>
      <c r="BZ617" s="262"/>
      <c r="CA617" s="262"/>
      <c r="CB617" s="262"/>
      <c r="CC617" s="262"/>
      <c r="CD617" s="262"/>
      <c r="CE617" s="262"/>
      <c r="CF617" s="262"/>
      <c r="CG617" s="262"/>
      <c r="CH617" s="262"/>
      <c r="CI617" s="262"/>
      <c r="CJ617" s="262"/>
      <c r="CK617" s="262"/>
      <c r="CL617" s="262"/>
      <c r="CM617" s="262"/>
      <c r="CN617" s="262"/>
      <c r="CO617" s="262"/>
      <c r="CP617" s="262"/>
      <c r="CQ617" s="262"/>
      <c r="CR617" s="262"/>
      <c r="CS617" s="262"/>
      <c r="CT617" s="262"/>
      <c r="CU617" s="262"/>
      <c r="CV617" s="262"/>
    </row>
    <row r="618" spans="33:100">
      <c r="AG618" s="262"/>
      <c r="AH618" s="262"/>
      <c r="AI618" s="262"/>
      <c r="AJ618" s="262"/>
      <c r="AK618" s="262"/>
      <c r="AL618" s="262"/>
      <c r="AM618" s="262"/>
      <c r="AN618" s="262"/>
      <c r="AO618" s="262"/>
      <c r="AP618" s="262"/>
      <c r="AQ618" s="262"/>
      <c r="AR618" s="262"/>
      <c r="AS618" s="262"/>
      <c r="AT618" s="262"/>
      <c r="AU618" s="262"/>
      <c r="AV618" s="262"/>
      <c r="AW618" s="262"/>
      <c r="AX618" s="262"/>
      <c r="AY618" s="262"/>
      <c r="AZ618" s="262"/>
      <c r="BA618" s="262"/>
      <c r="BB618" s="262"/>
      <c r="BC618" s="262"/>
      <c r="BD618" s="262"/>
      <c r="BE618" s="262"/>
      <c r="BF618" s="262"/>
      <c r="BG618" s="262"/>
      <c r="BH618" s="262"/>
      <c r="BI618" s="262"/>
      <c r="BJ618" s="262"/>
      <c r="BK618" s="262"/>
      <c r="BL618" s="262"/>
      <c r="BM618" s="262"/>
      <c r="BN618" s="262"/>
      <c r="BO618" s="262"/>
      <c r="BP618" s="262"/>
      <c r="BQ618" s="262"/>
      <c r="BR618" s="262"/>
      <c r="BS618" s="262"/>
      <c r="BT618" s="262"/>
      <c r="BU618" s="262"/>
      <c r="BV618" s="262"/>
      <c r="BW618" s="262"/>
      <c r="BX618" s="262"/>
      <c r="BY618" s="262"/>
      <c r="BZ618" s="262"/>
      <c r="CA618" s="262"/>
      <c r="CB618" s="262"/>
      <c r="CC618" s="262"/>
      <c r="CD618" s="262"/>
      <c r="CE618" s="262"/>
      <c r="CF618" s="262"/>
      <c r="CG618" s="262"/>
      <c r="CH618" s="262"/>
      <c r="CI618" s="262"/>
      <c r="CJ618" s="262"/>
      <c r="CK618" s="262"/>
      <c r="CL618" s="262"/>
      <c r="CM618" s="262"/>
      <c r="CN618" s="262"/>
      <c r="CO618" s="262"/>
      <c r="CP618" s="262"/>
      <c r="CQ618" s="262"/>
      <c r="CR618" s="262"/>
      <c r="CS618" s="262"/>
      <c r="CT618" s="262"/>
      <c r="CU618" s="262"/>
      <c r="CV618" s="262"/>
    </row>
    <row r="619" spans="33:100">
      <c r="AG619" s="262"/>
      <c r="AH619" s="262"/>
      <c r="AI619" s="262"/>
      <c r="AJ619" s="262"/>
      <c r="AK619" s="262"/>
      <c r="AL619" s="262"/>
      <c r="AM619" s="262"/>
      <c r="AN619" s="262"/>
      <c r="AO619" s="262"/>
      <c r="AP619" s="262"/>
      <c r="AQ619" s="262"/>
      <c r="AR619" s="262"/>
      <c r="AS619" s="262"/>
      <c r="AT619" s="262"/>
      <c r="AU619" s="262"/>
      <c r="AV619" s="262"/>
      <c r="AW619" s="262"/>
      <c r="AX619" s="262"/>
      <c r="AY619" s="262"/>
      <c r="AZ619" s="262"/>
      <c r="BA619" s="262"/>
      <c r="BB619" s="262"/>
      <c r="BC619" s="262"/>
      <c r="BD619" s="262"/>
      <c r="BE619" s="262"/>
      <c r="BF619" s="262"/>
      <c r="BG619" s="262"/>
      <c r="BH619" s="262"/>
      <c r="BI619" s="262"/>
      <c r="BJ619" s="262"/>
      <c r="BK619" s="262"/>
      <c r="BL619" s="262"/>
      <c r="BM619" s="262"/>
      <c r="BN619" s="262"/>
      <c r="BO619" s="262"/>
      <c r="BP619" s="262"/>
      <c r="BQ619" s="262"/>
      <c r="BR619" s="262"/>
      <c r="BS619" s="262"/>
      <c r="BT619" s="262"/>
      <c r="BU619" s="262"/>
      <c r="BV619" s="262"/>
      <c r="BW619" s="262"/>
      <c r="BX619" s="262"/>
      <c r="BY619" s="262"/>
      <c r="BZ619" s="262"/>
      <c r="CA619" s="262"/>
      <c r="CB619" s="262"/>
      <c r="CC619" s="262"/>
      <c r="CD619" s="262"/>
      <c r="CE619" s="262"/>
      <c r="CF619" s="262"/>
      <c r="CG619" s="262"/>
      <c r="CH619" s="262"/>
      <c r="CI619" s="262"/>
      <c r="CJ619" s="262"/>
      <c r="CK619" s="262"/>
      <c r="CL619" s="262"/>
      <c r="CM619" s="262"/>
      <c r="CN619" s="262"/>
      <c r="CO619" s="262"/>
      <c r="CP619" s="262"/>
      <c r="CQ619" s="262"/>
      <c r="CR619" s="262"/>
      <c r="CS619" s="262"/>
      <c r="CT619" s="262"/>
      <c r="CU619" s="262"/>
      <c r="CV619" s="262"/>
    </row>
    <row r="620" spans="33:100">
      <c r="AG620" s="262"/>
      <c r="AH620" s="262"/>
      <c r="AI620" s="262"/>
      <c r="AJ620" s="262"/>
      <c r="AK620" s="262"/>
      <c r="AL620" s="262"/>
      <c r="AM620" s="262"/>
      <c r="AN620" s="262"/>
      <c r="AO620" s="262"/>
      <c r="AP620" s="262"/>
      <c r="AQ620" s="262"/>
      <c r="AR620" s="262"/>
      <c r="AS620" s="262"/>
      <c r="AT620" s="262"/>
      <c r="AU620" s="262"/>
      <c r="AV620" s="262"/>
      <c r="AW620" s="262"/>
      <c r="AX620" s="262"/>
      <c r="AY620" s="262"/>
      <c r="AZ620" s="262"/>
      <c r="BA620" s="262"/>
      <c r="BB620" s="262"/>
      <c r="BC620" s="262"/>
      <c r="BD620" s="262"/>
      <c r="BE620" s="262"/>
      <c r="BF620" s="262"/>
      <c r="BG620" s="262"/>
      <c r="BH620" s="262"/>
      <c r="BI620" s="262"/>
      <c r="BJ620" s="262"/>
      <c r="BK620" s="262"/>
      <c r="BL620" s="262"/>
      <c r="BM620" s="262"/>
      <c r="BN620" s="262"/>
      <c r="BO620" s="262"/>
      <c r="BP620" s="262"/>
      <c r="BQ620" s="262"/>
      <c r="BR620" s="262"/>
      <c r="BS620" s="262"/>
      <c r="BT620" s="262"/>
      <c r="BU620" s="262"/>
      <c r="BV620" s="262"/>
      <c r="BW620" s="262"/>
      <c r="BX620" s="262"/>
      <c r="BY620" s="262"/>
      <c r="BZ620" s="262"/>
      <c r="CA620" s="262"/>
      <c r="CB620" s="262"/>
      <c r="CC620" s="262"/>
      <c r="CD620" s="262"/>
      <c r="CE620" s="262"/>
      <c r="CF620" s="262"/>
      <c r="CG620" s="262"/>
      <c r="CH620" s="262"/>
      <c r="CI620" s="262"/>
      <c r="CJ620" s="262"/>
      <c r="CK620" s="262"/>
      <c r="CL620" s="262"/>
      <c r="CM620" s="262"/>
      <c r="CN620" s="262"/>
      <c r="CO620" s="262"/>
      <c r="CP620" s="262"/>
      <c r="CQ620" s="262"/>
      <c r="CR620" s="262"/>
      <c r="CS620" s="262"/>
      <c r="CT620" s="262"/>
      <c r="CU620" s="262"/>
      <c r="CV620" s="262"/>
    </row>
    <row r="621" spans="33:100">
      <c r="AG621" s="262"/>
      <c r="AH621" s="262"/>
      <c r="AI621" s="262"/>
      <c r="AJ621" s="262"/>
      <c r="AK621" s="262"/>
      <c r="AL621" s="262"/>
      <c r="AM621" s="262"/>
      <c r="AN621" s="262"/>
      <c r="AO621" s="262"/>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62"/>
      <c r="BM621" s="262"/>
      <c r="BN621" s="262"/>
      <c r="BO621" s="262"/>
      <c r="BP621" s="262"/>
      <c r="BQ621" s="262"/>
      <c r="BR621" s="262"/>
      <c r="BS621" s="262"/>
      <c r="BT621" s="262"/>
      <c r="BU621" s="262"/>
      <c r="BV621" s="262"/>
      <c r="BW621" s="262"/>
      <c r="BX621" s="262"/>
      <c r="BY621" s="262"/>
      <c r="BZ621" s="262"/>
      <c r="CA621" s="262"/>
      <c r="CB621" s="262"/>
      <c r="CC621" s="262"/>
      <c r="CD621" s="262"/>
      <c r="CE621" s="262"/>
      <c r="CF621" s="262"/>
      <c r="CG621" s="262"/>
      <c r="CH621" s="262"/>
      <c r="CI621" s="262"/>
      <c r="CJ621" s="262"/>
      <c r="CK621" s="262"/>
      <c r="CL621" s="262"/>
      <c r="CM621" s="262"/>
      <c r="CN621" s="262"/>
      <c r="CO621" s="262"/>
      <c r="CP621" s="262"/>
      <c r="CQ621" s="262"/>
      <c r="CR621" s="262"/>
      <c r="CS621" s="262"/>
      <c r="CT621" s="262"/>
      <c r="CU621" s="262"/>
      <c r="CV621" s="262"/>
    </row>
    <row r="622" spans="33:100">
      <c r="AG622" s="262"/>
      <c r="AH622" s="262"/>
      <c r="AI622" s="262"/>
      <c r="AJ622" s="262"/>
      <c r="AK622" s="262"/>
      <c r="AL622" s="262"/>
      <c r="AM622" s="262"/>
      <c r="AN622" s="262"/>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62"/>
      <c r="BM622" s="262"/>
      <c r="BN622" s="262"/>
      <c r="BO622" s="262"/>
      <c r="BP622" s="262"/>
      <c r="BQ622" s="262"/>
      <c r="BR622" s="262"/>
      <c r="BS622" s="262"/>
      <c r="BT622" s="262"/>
      <c r="BU622" s="262"/>
      <c r="BV622" s="262"/>
      <c r="BW622" s="262"/>
      <c r="BX622" s="262"/>
      <c r="BY622" s="262"/>
      <c r="BZ622" s="262"/>
      <c r="CA622" s="262"/>
      <c r="CB622" s="262"/>
      <c r="CC622" s="262"/>
      <c r="CD622" s="262"/>
      <c r="CE622" s="262"/>
      <c r="CF622" s="262"/>
      <c r="CG622" s="262"/>
      <c r="CH622" s="262"/>
      <c r="CI622" s="262"/>
      <c r="CJ622" s="262"/>
      <c r="CK622" s="262"/>
      <c r="CL622" s="262"/>
      <c r="CM622" s="262"/>
      <c r="CN622" s="262"/>
      <c r="CO622" s="262"/>
      <c r="CP622" s="262"/>
      <c r="CQ622" s="262"/>
      <c r="CR622" s="262"/>
      <c r="CS622" s="262"/>
      <c r="CT622" s="262"/>
      <c r="CU622" s="262"/>
      <c r="CV622" s="262"/>
    </row>
    <row r="623" spans="33:100">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62"/>
      <c r="BM623" s="262"/>
      <c r="BN623" s="262"/>
      <c r="BO623" s="262"/>
      <c r="BP623" s="262"/>
      <c r="BQ623" s="262"/>
      <c r="BR623" s="262"/>
      <c r="BS623" s="262"/>
      <c r="BT623" s="262"/>
      <c r="BU623" s="262"/>
      <c r="BV623" s="262"/>
      <c r="BW623" s="262"/>
      <c r="BX623" s="262"/>
      <c r="BY623" s="262"/>
      <c r="BZ623" s="262"/>
      <c r="CA623" s="262"/>
      <c r="CB623" s="262"/>
      <c r="CC623" s="262"/>
      <c r="CD623" s="262"/>
      <c r="CE623" s="262"/>
      <c r="CF623" s="262"/>
      <c r="CG623" s="262"/>
      <c r="CH623" s="262"/>
      <c r="CI623" s="262"/>
      <c r="CJ623" s="262"/>
      <c r="CK623" s="262"/>
      <c r="CL623" s="262"/>
      <c r="CM623" s="262"/>
      <c r="CN623" s="262"/>
      <c r="CO623" s="262"/>
      <c r="CP623" s="262"/>
      <c r="CQ623" s="262"/>
      <c r="CR623" s="262"/>
      <c r="CS623" s="262"/>
      <c r="CT623" s="262"/>
      <c r="CU623" s="262"/>
      <c r="CV623" s="262"/>
    </row>
    <row r="624" spans="33:100">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62"/>
      <c r="BM624" s="262"/>
      <c r="BN624" s="262"/>
      <c r="BO624" s="262"/>
      <c r="BP624" s="262"/>
      <c r="BQ624" s="262"/>
      <c r="BR624" s="262"/>
      <c r="BS624" s="262"/>
      <c r="BT624" s="262"/>
      <c r="BU624" s="262"/>
      <c r="BV624" s="262"/>
      <c r="BW624" s="262"/>
      <c r="BX624" s="262"/>
      <c r="BY624" s="262"/>
      <c r="BZ624" s="262"/>
      <c r="CA624" s="262"/>
      <c r="CB624" s="262"/>
      <c r="CC624" s="262"/>
      <c r="CD624" s="262"/>
      <c r="CE624" s="262"/>
      <c r="CF624" s="262"/>
      <c r="CG624" s="262"/>
      <c r="CH624" s="262"/>
      <c r="CI624" s="262"/>
      <c r="CJ624" s="262"/>
      <c r="CK624" s="262"/>
      <c r="CL624" s="262"/>
      <c r="CM624" s="262"/>
      <c r="CN624" s="262"/>
      <c r="CO624" s="262"/>
      <c r="CP624" s="262"/>
      <c r="CQ624" s="262"/>
      <c r="CR624" s="262"/>
      <c r="CS624" s="262"/>
      <c r="CT624" s="262"/>
      <c r="CU624" s="262"/>
      <c r="CV624" s="262"/>
    </row>
    <row r="625" spans="33:100">
      <c r="AG625" s="262"/>
      <c r="AH625" s="262"/>
      <c r="AI625" s="262"/>
      <c r="AJ625" s="262"/>
      <c r="AK625" s="262"/>
      <c r="AL625" s="262"/>
      <c r="AM625" s="262"/>
      <c r="AN625" s="262"/>
      <c r="AO625" s="262"/>
      <c r="AP625" s="262"/>
      <c r="AQ625" s="262"/>
      <c r="AR625" s="262"/>
      <c r="AS625" s="262"/>
      <c r="AT625" s="262"/>
      <c r="AU625" s="262"/>
      <c r="AV625" s="262"/>
      <c r="AW625" s="262"/>
      <c r="AX625" s="262"/>
      <c r="AY625" s="262"/>
      <c r="AZ625" s="262"/>
      <c r="BA625" s="262"/>
      <c r="BB625" s="262"/>
      <c r="BC625" s="262"/>
      <c r="BD625" s="262"/>
      <c r="BE625" s="262"/>
      <c r="BF625" s="262"/>
      <c r="BG625" s="262"/>
      <c r="BH625" s="262"/>
      <c r="BI625" s="262"/>
      <c r="BJ625" s="262"/>
      <c r="BK625" s="262"/>
      <c r="BL625" s="262"/>
      <c r="BM625" s="262"/>
      <c r="BN625" s="262"/>
      <c r="BO625" s="262"/>
      <c r="BP625" s="262"/>
      <c r="BQ625" s="262"/>
      <c r="BR625" s="262"/>
      <c r="BS625" s="262"/>
      <c r="BT625" s="262"/>
      <c r="BU625" s="262"/>
      <c r="BV625" s="262"/>
      <c r="BW625" s="262"/>
      <c r="BX625" s="262"/>
      <c r="BY625" s="262"/>
      <c r="BZ625" s="262"/>
      <c r="CA625" s="262"/>
      <c r="CB625" s="262"/>
      <c r="CC625" s="262"/>
      <c r="CD625" s="262"/>
      <c r="CE625" s="262"/>
      <c r="CF625" s="262"/>
      <c r="CG625" s="262"/>
      <c r="CH625" s="262"/>
      <c r="CI625" s="262"/>
      <c r="CJ625" s="262"/>
      <c r="CK625" s="262"/>
      <c r="CL625" s="262"/>
      <c r="CM625" s="262"/>
      <c r="CN625" s="262"/>
      <c r="CO625" s="262"/>
      <c r="CP625" s="262"/>
      <c r="CQ625" s="262"/>
      <c r="CR625" s="262"/>
      <c r="CS625" s="262"/>
      <c r="CT625" s="262"/>
      <c r="CU625" s="262"/>
      <c r="CV625" s="262"/>
    </row>
    <row r="626" spans="33:100">
      <c r="AG626" s="262"/>
      <c r="AH626" s="262"/>
      <c r="AI626" s="262"/>
      <c r="AJ626" s="262"/>
      <c r="AK626" s="262"/>
      <c r="AL626" s="262"/>
      <c r="AM626" s="262"/>
      <c r="AN626" s="262"/>
      <c r="AO626" s="262"/>
      <c r="AP626" s="262"/>
      <c r="AQ626" s="262"/>
      <c r="AR626" s="262"/>
      <c r="AS626" s="262"/>
      <c r="AT626" s="262"/>
      <c r="AU626" s="262"/>
      <c r="AV626" s="262"/>
      <c r="AW626" s="262"/>
      <c r="AX626" s="262"/>
      <c r="AY626" s="262"/>
      <c r="AZ626" s="262"/>
      <c r="BA626" s="262"/>
      <c r="BB626" s="262"/>
      <c r="BC626" s="262"/>
      <c r="BD626" s="262"/>
      <c r="BE626" s="262"/>
      <c r="BF626" s="262"/>
      <c r="BG626" s="262"/>
      <c r="BH626" s="262"/>
      <c r="BI626" s="262"/>
      <c r="BJ626" s="262"/>
      <c r="BK626" s="262"/>
      <c r="BL626" s="262"/>
      <c r="BM626" s="262"/>
      <c r="BN626" s="262"/>
      <c r="BO626" s="262"/>
      <c r="BP626" s="262"/>
      <c r="BQ626" s="262"/>
      <c r="BR626" s="262"/>
      <c r="BS626" s="262"/>
      <c r="BT626" s="262"/>
      <c r="BU626" s="262"/>
      <c r="BV626" s="262"/>
      <c r="BW626" s="262"/>
      <c r="BX626" s="262"/>
      <c r="BY626" s="262"/>
      <c r="BZ626" s="262"/>
      <c r="CA626" s="262"/>
      <c r="CB626" s="262"/>
      <c r="CC626" s="262"/>
      <c r="CD626" s="262"/>
      <c r="CE626" s="262"/>
      <c r="CF626" s="262"/>
      <c r="CG626" s="262"/>
      <c r="CH626" s="262"/>
      <c r="CI626" s="262"/>
      <c r="CJ626" s="262"/>
      <c r="CK626" s="262"/>
      <c r="CL626" s="262"/>
      <c r="CM626" s="262"/>
      <c r="CN626" s="262"/>
      <c r="CO626" s="262"/>
      <c r="CP626" s="262"/>
      <c r="CQ626" s="262"/>
      <c r="CR626" s="262"/>
      <c r="CS626" s="262"/>
      <c r="CT626" s="262"/>
      <c r="CU626" s="262"/>
      <c r="CV626" s="262"/>
    </row>
    <row r="627" spans="33:100">
      <c r="AG627" s="262"/>
      <c r="AH627" s="262"/>
      <c r="AI627" s="262"/>
      <c r="AJ627" s="262"/>
      <c r="AK627" s="262"/>
      <c r="AL627" s="262"/>
      <c r="AM627" s="262"/>
      <c r="AN627" s="262"/>
      <c r="AO627" s="262"/>
      <c r="AP627" s="262"/>
      <c r="AQ627" s="262"/>
      <c r="AR627" s="262"/>
      <c r="AS627" s="262"/>
      <c r="AT627" s="262"/>
      <c r="AU627" s="262"/>
      <c r="AV627" s="262"/>
      <c r="AW627" s="262"/>
      <c r="AX627" s="262"/>
      <c r="AY627" s="262"/>
      <c r="AZ627" s="262"/>
      <c r="BA627" s="262"/>
      <c r="BB627" s="262"/>
      <c r="BC627" s="262"/>
      <c r="BD627" s="262"/>
      <c r="BE627" s="262"/>
      <c r="BF627" s="262"/>
      <c r="BG627" s="262"/>
      <c r="BH627" s="262"/>
      <c r="BI627" s="262"/>
      <c r="BJ627" s="262"/>
      <c r="BK627" s="262"/>
      <c r="BL627" s="262"/>
      <c r="BM627" s="262"/>
      <c r="BN627" s="262"/>
      <c r="BO627" s="262"/>
      <c r="BP627" s="262"/>
      <c r="BQ627" s="262"/>
      <c r="BR627" s="262"/>
      <c r="BS627" s="262"/>
      <c r="BT627" s="262"/>
      <c r="BU627" s="262"/>
      <c r="BV627" s="262"/>
      <c r="BW627" s="262"/>
      <c r="BX627" s="262"/>
      <c r="BY627" s="262"/>
      <c r="BZ627" s="262"/>
      <c r="CA627" s="262"/>
      <c r="CB627" s="262"/>
      <c r="CC627" s="262"/>
      <c r="CD627" s="262"/>
      <c r="CE627" s="262"/>
      <c r="CF627" s="262"/>
      <c r="CG627" s="262"/>
      <c r="CH627" s="262"/>
      <c r="CI627" s="262"/>
      <c r="CJ627" s="262"/>
      <c r="CK627" s="262"/>
      <c r="CL627" s="262"/>
      <c r="CM627" s="262"/>
      <c r="CN627" s="262"/>
      <c r="CO627" s="262"/>
      <c r="CP627" s="262"/>
      <c r="CQ627" s="262"/>
      <c r="CR627" s="262"/>
      <c r="CS627" s="262"/>
      <c r="CT627" s="262"/>
      <c r="CU627" s="262"/>
      <c r="CV627" s="262"/>
    </row>
    <row r="628" spans="33:100">
      <c r="AG628" s="262"/>
      <c r="AH628" s="262"/>
      <c r="AI628" s="262"/>
      <c r="AJ628" s="262"/>
      <c r="AK628" s="262"/>
      <c r="AL628" s="262"/>
      <c r="AM628" s="262"/>
      <c r="AN628" s="262"/>
      <c r="AO628" s="262"/>
      <c r="AP628" s="262"/>
      <c r="AQ628" s="262"/>
      <c r="AR628" s="262"/>
      <c r="AS628" s="262"/>
      <c r="AT628" s="262"/>
      <c r="AU628" s="262"/>
      <c r="AV628" s="262"/>
      <c r="AW628" s="262"/>
      <c r="AX628" s="262"/>
      <c r="AY628" s="262"/>
      <c r="AZ628" s="262"/>
      <c r="BA628" s="262"/>
      <c r="BB628" s="262"/>
      <c r="BC628" s="262"/>
      <c r="BD628" s="262"/>
      <c r="BE628" s="262"/>
      <c r="BF628" s="262"/>
      <c r="BG628" s="262"/>
      <c r="BH628" s="262"/>
      <c r="BI628" s="262"/>
      <c r="BJ628" s="262"/>
      <c r="BK628" s="262"/>
      <c r="BL628" s="262"/>
      <c r="BM628" s="262"/>
      <c r="BN628" s="262"/>
      <c r="BO628" s="262"/>
      <c r="BP628" s="262"/>
      <c r="BQ628" s="262"/>
      <c r="BR628" s="262"/>
      <c r="BS628" s="262"/>
      <c r="BT628" s="262"/>
      <c r="BU628" s="262"/>
      <c r="BV628" s="262"/>
      <c r="BW628" s="262"/>
      <c r="BX628" s="262"/>
      <c r="BY628" s="262"/>
      <c r="BZ628" s="262"/>
      <c r="CA628" s="262"/>
      <c r="CB628" s="262"/>
      <c r="CC628" s="262"/>
      <c r="CD628" s="262"/>
      <c r="CE628" s="262"/>
      <c r="CF628" s="262"/>
      <c r="CG628" s="262"/>
      <c r="CH628" s="262"/>
      <c r="CI628" s="262"/>
      <c r="CJ628" s="262"/>
      <c r="CK628" s="262"/>
      <c r="CL628" s="262"/>
      <c r="CM628" s="262"/>
      <c r="CN628" s="262"/>
      <c r="CO628" s="262"/>
      <c r="CP628" s="262"/>
      <c r="CQ628" s="262"/>
      <c r="CR628" s="262"/>
      <c r="CS628" s="262"/>
      <c r="CT628" s="262"/>
      <c r="CU628" s="262"/>
      <c r="CV628" s="262"/>
    </row>
    <row r="629" spans="33:100">
      <c r="AG629" s="262"/>
      <c r="AH629" s="262"/>
      <c r="AI629" s="262"/>
      <c r="AJ629" s="262"/>
      <c r="AK629" s="262"/>
      <c r="AL629" s="262"/>
      <c r="AM629" s="262"/>
      <c r="AN629" s="262"/>
      <c r="AO629" s="262"/>
      <c r="AP629" s="262"/>
      <c r="AQ629" s="262"/>
      <c r="AR629" s="262"/>
      <c r="AS629" s="262"/>
      <c r="AT629" s="262"/>
      <c r="AU629" s="262"/>
      <c r="AV629" s="262"/>
      <c r="AW629" s="262"/>
      <c r="AX629" s="262"/>
      <c r="AY629" s="262"/>
      <c r="AZ629" s="262"/>
      <c r="BA629" s="262"/>
      <c r="BB629" s="262"/>
      <c r="BC629" s="262"/>
      <c r="BD629" s="262"/>
      <c r="BE629" s="262"/>
      <c r="BF629" s="262"/>
      <c r="BG629" s="262"/>
      <c r="BH629" s="262"/>
      <c r="BI629" s="262"/>
      <c r="BJ629" s="262"/>
      <c r="BK629" s="262"/>
      <c r="BL629" s="262"/>
      <c r="BM629" s="262"/>
      <c r="BN629" s="262"/>
      <c r="BO629" s="262"/>
      <c r="BP629" s="262"/>
      <c r="BQ629" s="262"/>
      <c r="BR629" s="262"/>
      <c r="BS629" s="262"/>
      <c r="BT629" s="262"/>
      <c r="BU629" s="262"/>
      <c r="BV629" s="262"/>
      <c r="BW629" s="262"/>
      <c r="BX629" s="262"/>
      <c r="BY629" s="262"/>
      <c r="BZ629" s="262"/>
      <c r="CA629" s="262"/>
      <c r="CB629" s="262"/>
      <c r="CC629" s="262"/>
      <c r="CD629" s="262"/>
      <c r="CE629" s="262"/>
      <c r="CF629" s="262"/>
      <c r="CG629" s="262"/>
      <c r="CH629" s="262"/>
      <c r="CI629" s="262"/>
      <c r="CJ629" s="262"/>
      <c r="CK629" s="262"/>
      <c r="CL629" s="262"/>
      <c r="CM629" s="262"/>
      <c r="CN629" s="262"/>
      <c r="CO629" s="262"/>
      <c r="CP629" s="262"/>
      <c r="CQ629" s="262"/>
      <c r="CR629" s="262"/>
      <c r="CS629" s="262"/>
      <c r="CT629" s="262"/>
      <c r="CU629" s="262"/>
      <c r="CV629" s="262"/>
    </row>
    <row r="630" spans="33:100">
      <c r="AG630" s="262"/>
      <c r="AH630" s="262"/>
      <c r="AI630" s="262"/>
      <c r="AJ630" s="262"/>
      <c r="AK630" s="262"/>
      <c r="AL630" s="262"/>
      <c r="AM630" s="262"/>
      <c r="AN630" s="262"/>
      <c r="AO630" s="262"/>
      <c r="AP630" s="262"/>
      <c r="AQ630" s="262"/>
      <c r="AR630" s="262"/>
      <c r="AS630" s="262"/>
      <c r="AT630" s="262"/>
      <c r="AU630" s="262"/>
      <c r="AV630" s="262"/>
      <c r="AW630" s="262"/>
      <c r="AX630" s="262"/>
      <c r="AY630" s="262"/>
      <c r="AZ630" s="262"/>
      <c r="BA630" s="262"/>
      <c r="BB630" s="262"/>
      <c r="BC630" s="262"/>
      <c r="BD630" s="262"/>
      <c r="BE630" s="262"/>
      <c r="BF630" s="262"/>
      <c r="BG630" s="262"/>
      <c r="BH630" s="262"/>
      <c r="BI630" s="262"/>
      <c r="BJ630" s="262"/>
      <c r="BK630" s="262"/>
      <c r="BL630" s="262"/>
      <c r="BM630" s="262"/>
      <c r="BN630" s="262"/>
      <c r="BO630" s="262"/>
      <c r="BP630" s="262"/>
      <c r="BQ630" s="262"/>
      <c r="BR630" s="262"/>
      <c r="BS630" s="262"/>
      <c r="BT630" s="262"/>
      <c r="BU630" s="262"/>
      <c r="BV630" s="262"/>
      <c r="BW630" s="262"/>
      <c r="BX630" s="262"/>
      <c r="BY630" s="262"/>
      <c r="BZ630" s="262"/>
      <c r="CA630" s="262"/>
      <c r="CB630" s="262"/>
      <c r="CC630" s="262"/>
      <c r="CD630" s="262"/>
      <c r="CE630" s="262"/>
      <c r="CF630" s="262"/>
      <c r="CG630" s="262"/>
      <c r="CH630" s="262"/>
      <c r="CI630" s="262"/>
      <c r="CJ630" s="262"/>
      <c r="CK630" s="262"/>
      <c r="CL630" s="262"/>
      <c r="CM630" s="262"/>
      <c r="CN630" s="262"/>
      <c r="CO630" s="262"/>
      <c r="CP630" s="262"/>
      <c r="CQ630" s="262"/>
      <c r="CR630" s="262"/>
      <c r="CS630" s="262"/>
      <c r="CT630" s="262"/>
      <c r="CU630" s="262"/>
      <c r="CV630" s="262"/>
    </row>
    <row r="631" spans="33:100">
      <c r="AG631" s="262"/>
      <c r="AH631" s="262"/>
      <c r="AI631" s="262"/>
      <c r="AJ631" s="262"/>
      <c r="AK631" s="262"/>
      <c r="AL631" s="262"/>
      <c r="AM631" s="262"/>
      <c r="AN631" s="262"/>
      <c r="AO631" s="262"/>
      <c r="AP631" s="262"/>
      <c r="AQ631" s="262"/>
      <c r="AR631" s="262"/>
      <c r="AS631" s="262"/>
      <c r="AT631" s="262"/>
      <c r="AU631" s="262"/>
      <c r="AV631" s="262"/>
      <c r="AW631" s="262"/>
      <c r="AX631" s="262"/>
      <c r="AY631" s="262"/>
      <c r="AZ631" s="262"/>
      <c r="BA631" s="262"/>
      <c r="BB631" s="262"/>
      <c r="BC631" s="262"/>
      <c r="BD631" s="262"/>
      <c r="BE631" s="262"/>
      <c r="BF631" s="262"/>
      <c r="BG631" s="262"/>
      <c r="BH631" s="262"/>
      <c r="BI631" s="262"/>
      <c r="BJ631" s="262"/>
      <c r="BK631" s="262"/>
      <c r="BL631" s="262"/>
      <c r="BM631" s="262"/>
      <c r="BN631" s="262"/>
      <c r="BO631" s="262"/>
      <c r="BP631" s="262"/>
      <c r="BQ631" s="262"/>
      <c r="BR631" s="262"/>
      <c r="BS631" s="262"/>
      <c r="BT631" s="262"/>
      <c r="BU631" s="262"/>
      <c r="BV631" s="262"/>
      <c r="BW631" s="262"/>
      <c r="BX631" s="262"/>
      <c r="BY631" s="262"/>
      <c r="BZ631" s="262"/>
      <c r="CA631" s="262"/>
      <c r="CB631" s="262"/>
      <c r="CC631" s="262"/>
      <c r="CD631" s="262"/>
      <c r="CE631" s="262"/>
      <c r="CF631" s="262"/>
      <c r="CG631" s="262"/>
      <c r="CH631" s="262"/>
      <c r="CI631" s="262"/>
      <c r="CJ631" s="262"/>
      <c r="CK631" s="262"/>
      <c r="CL631" s="262"/>
      <c r="CM631" s="262"/>
      <c r="CN631" s="262"/>
      <c r="CO631" s="262"/>
      <c r="CP631" s="262"/>
      <c r="CQ631" s="262"/>
      <c r="CR631" s="262"/>
      <c r="CS631" s="262"/>
      <c r="CT631" s="262"/>
      <c r="CU631" s="262"/>
      <c r="CV631" s="262"/>
    </row>
    <row r="632" spans="33:100">
      <c r="AG632" s="262"/>
      <c r="AH632" s="262"/>
      <c r="AI632" s="262"/>
      <c r="AJ632" s="262"/>
      <c r="AK632" s="262"/>
      <c r="AL632" s="262"/>
      <c r="AM632" s="262"/>
      <c r="AN632" s="262"/>
      <c r="AO632" s="262"/>
      <c r="AP632" s="262"/>
      <c r="AQ632" s="262"/>
      <c r="AR632" s="262"/>
      <c r="AS632" s="262"/>
      <c r="AT632" s="262"/>
      <c r="AU632" s="262"/>
      <c r="AV632" s="262"/>
      <c r="AW632" s="262"/>
      <c r="AX632" s="262"/>
      <c r="AY632" s="262"/>
      <c r="AZ632" s="262"/>
      <c r="BA632" s="262"/>
      <c r="BB632" s="262"/>
      <c r="BC632" s="262"/>
      <c r="BD632" s="262"/>
      <c r="BE632" s="262"/>
      <c r="BF632" s="262"/>
      <c r="BG632" s="262"/>
      <c r="BH632" s="262"/>
      <c r="BI632" s="262"/>
      <c r="BJ632" s="262"/>
      <c r="BK632" s="262"/>
      <c r="BL632" s="262"/>
      <c r="BM632" s="262"/>
      <c r="BN632" s="262"/>
      <c r="BO632" s="262"/>
      <c r="BP632" s="262"/>
      <c r="BQ632" s="262"/>
      <c r="BR632" s="262"/>
      <c r="BS632" s="262"/>
      <c r="BT632" s="262"/>
      <c r="BU632" s="262"/>
      <c r="BV632" s="262"/>
      <c r="BW632" s="262"/>
      <c r="BX632" s="262"/>
      <c r="BY632" s="262"/>
      <c r="BZ632" s="262"/>
      <c r="CA632" s="262"/>
      <c r="CB632" s="262"/>
      <c r="CC632" s="262"/>
      <c r="CD632" s="262"/>
      <c r="CE632" s="262"/>
      <c r="CF632" s="262"/>
      <c r="CG632" s="262"/>
      <c r="CH632" s="262"/>
      <c r="CI632" s="262"/>
      <c r="CJ632" s="262"/>
      <c r="CK632" s="262"/>
      <c r="CL632" s="262"/>
      <c r="CM632" s="262"/>
      <c r="CN632" s="262"/>
      <c r="CO632" s="262"/>
      <c r="CP632" s="262"/>
      <c r="CQ632" s="262"/>
      <c r="CR632" s="262"/>
      <c r="CS632" s="262"/>
      <c r="CT632" s="262"/>
      <c r="CU632" s="262"/>
      <c r="CV632" s="262"/>
    </row>
    <row r="633" spans="33:100">
      <c r="AG633" s="262"/>
      <c r="AH633" s="262"/>
      <c r="AI633" s="262"/>
      <c r="AJ633" s="262"/>
      <c r="AK633" s="262"/>
      <c r="AL633" s="262"/>
      <c r="AM633" s="262"/>
      <c r="AN633" s="262"/>
      <c r="AO633" s="262"/>
      <c r="AP633" s="262"/>
      <c r="AQ633" s="262"/>
      <c r="AR633" s="262"/>
      <c r="AS633" s="262"/>
      <c r="AT633" s="262"/>
      <c r="AU633" s="262"/>
      <c r="AV633" s="262"/>
      <c r="AW633" s="262"/>
      <c r="AX633" s="262"/>
      <c r="AY633" s="262"/>
      <c r="AZ633" s="262"/>
      <c r="BA633" s="262"/>
      <c r="BB633" s="262"/>
      <c r="BC633" s="262"/>
      <c r="BD633" s="262"/>
      <c r="BE633" s="262"/>
      <c r="BF633" s="262"/>
      <c r="BG633" s="262"/>
      <c r="BH633" s="262"/>
      <c r="BI633" s="262"/>
      <c r="BJ633" s="262"/>
      <c r="BK633" s="262"/>
      <c r="BL633" s="262"/>
      <c r="BM633" s="262"/>
      <c r="BN633" s="262"/>
      <c r="BO633" s="262"/>
      <c r="BP633" s="262"/>
      <c r="BQ633" s="262"/>
      <c r="BR633" s="262"/>
      <c r="BS633" s="262"/>
      <c r="BT633" s="262"/>
      <c r="BU633" s="262"/>
      <c r="BV633" s="262"/>
      <c r="BW633" s="262"/>
      <c r="BX633" s="262"/>
      <c r="BY633" s="262"/>
      <c r="BZ633" s="262"/>
      <c r="CA633" s="262"/>
      <c r="CB633" s="262"/>
      <c r="CC633" s="262"/>
      <c r="CD633" s="262"/>
      <c r="CE633" s="262"/>
      <c r="CF633" s="262"/>
      <c r="CG633" s="262"/>
      <c r="CH633" s="262"/>
      <c r="CI633" s="262"/>
      <c r="CJ633" s="262"/>
      <c r="CK633" s="262"/>
      <c r="CL633" s="262"/>
      <c r="CM633" s="262"/>
      <c r="CN633" s="262"/>
      <c r="CO633" s="262"/>
      <c r="CP633" s="262"/>
      <c r="CQ633" s="262"/>
      <c r="CR633" s="262"/>
      <c r="CS633" s="262"/>
      <c r="CT633" s="262"/>
      <c r="CU633" s="262"/>
      <c r="CV633" s="262"/>
    </row>
    <row r="634" spans="33:100">
      <c r="AG634" s="262"/>
      <c r="AH634" s="262"/>
      <c r="AI634" s="262"/>
      <c r="AJ634" s="262"/>
      <c r="AK634" s="262"/>
      <c r="AL634" s="262"/>
      <c r="AM634" s="262"/>
      <c r="AN634" s="262"/>
      <c r="AO634" s="262"/>
      <c r="AP634" s="262"/>
      <c r="AQ634" s="262"/>
      <c r="AR634" s="262"/>
      <c r="AS634" s="262"/>
      <c r="AT634" s="262"/>
      <c r="AU634" s="262"/>
      <c r="AV634" s="262"/>
      <c r="AW634" s="262"/>
      <c r="AX634" s="262"/>
      <c r="AY634" s="262"/>
      <c r="AZ634" s="262"/>
      <c r="BA634" s="262"/>
      <c r="BB634" s="262"/>
      <c r="BC634" s="262"/>
      <c r="BD634" s="262"/>
      <c r="BE634" s="262"/>
      <c r="BF634" s="262"/>
      <c r="BG634" s="262"/>
      <c r="BH634" s="262"/>
      <c r="BI634" s="262"/>
      <c r="BJ634" s="262"/>
      <c r="BK634" s="262"/>
      <c r="BL634" s="262"/>
      <c r="BM634" s="262"/>
      <c r="BN634" s="262"/>
      <c r="BO634" s="262"/>
      <c r="BP634" s="262"/>
      <c r="BQ634" s="262"/>
      <c r="BR634" s="262"/>
      <c r="BS634" s="262"/>
      <c r="BT634" s="262"/>
      <c r="BU634" s="262"/>
      <c r="BV634" s="262"/>
      <c r="BW634" s="262"/>
      <c r="BX634" s="262"/>
      <c r="BY634" s="262"/>
      <c r="BZ634" s="262"/>
      <c r="CA634" s="262"/>
      <c r="CB634" s="262"/>
      <c r="CC634" s="262"/>
      <c r="CD634" s="262"/>
      <c r="CE634" s="262"/>
      <c r="CF634" s="262"/>
      <c r="CG634" s="262"/>
      <c r="CH634" s="262"/>
      <c r="CI634" s="262"/>
      <c r="CJ634" s="262"/>
      <c r="CK634" s="262"/>
      <c r="CL634" s="262"/>
      <c r="CM634" s="262"/>
      <c r="CN634" s="262"/>
      <c r="CO634" s="262"/>
      <c r="CP634" s="262"/>
      <c r="CQ634" s="262"/>
      <c r="CR634" s="262"/>
      <c r="CS634" s="262"/>
      <c r="CT634" s="262"/>
      <c r="CU634" s="262"/>
      <c r="CV634" s="262"/>
    </row>
    <row r="635" spans="33:100">
      <c r="AG635" s="262"/>
      <c r="AH635" s="262"/>
      <c r="AI635" s="262"/>
      <c r="AJ635" s="262"/>
      <c r="AK635" s="262"/>
      <c r="AL635" s="262"/>
      <c r="AM635" s="262"/>
      <c r="AN635" s="262"/>
      <c r="AO635" s="262"/>
      <c r="AP635" s="262"/>
      <c r="AQ635" s="262"/>
      <c r="AR635" s="262"/>
      <c r="AS635" s="262"/>
      <c r="AT635" s="262"/>
      <c r="AU635" s="262"/>
      <c r="AV635" s="262"/>
      <c r="AW635" s="262"/>
      <c r="AX635" s="262"/>
      <c r="AY635" s="262"/>
      <c r="AZ635" s="262"/>
      <c r="BA635" s="262"/>
      <c r="BB635" s="262"/>
      <c r="BC635" s="262"/>
      <c r="BD635" s="262"/>
      <c r="BE635" s="262"/>
      <c r="BF635" s="262"/>
      <c r="BG635" s="262"/>
      <c r="BH635" s="262"/>
      <c r="BI635" s="262"/>
      <c r="BJ635" s="262"/>
      <c r="BK635" s="262"/>
      <c r="BL635" s="262"/>
      <c r="BM635" s="262"/>
      <c r="BN635" s="262"/>
      <c r="BO635" s="262"/>
      <c r="BP635" s="262"/>
      <c r="BQ635" s="262"/>
      <c r="BR635" s="262"/>
      <c r="BS635" s="262"/>
      <c r="BT635" s="262"/>
      <c r="BU635" s="262"/>
      <c r="BV635" s="262"/>
      <c r="BW635" s="262"/>
      <c r="BX635" s="262"/>
      <c r="BY635" s="262"/>
      <c r="BZ635" s="262"/>
      <c r="CA635" s="262"/>
      <c r="CB635" s="262"/>
      <c r="CC635" s="262"/>
      <c r="CD635" s="262"/>
      <c r="CE635" s="262"/>
      <c r="CF635" s="262"/>
      <c r="CG635" s="262"/>
      <c r="CH635" s="262"/>
      <c r="CI635" s="262"/>
      <c r="CJ635" s="262"/>
      <c r="CK635" s="262"/>
      <c r="CL635" s="262"/>
      <c r="CM635" s="262"/>
      <c r="CN635" s="262"/>
      <c r="CO635" s="262"/>
      <c r="CP635" s="262"/>
      <c r="CQ635" s="262"/>
      <c r="CR635" s="262"/>
      <c r="CS635" s="262"/>
      <c r="CT635" s="262"/>
      <c r="CU635" s="262"/>
      <c r="CV635" s="262"/>
    </row>
    <row r="636" spans="33:100">
      <c r="AG636" s="262"/>
      <c r="AH636" s="262"/>
      <c r="AI636" s="262"/>
      <c r="AJ636" s="262"/>
      <c r="AK636" s="262"/>
      <c r="AL636" s="262"/>
      <c r="AM636" s="262"/>
      <c r="AN636" s="262"/>
      <c r="AO636" s="262"/>
      <c r="AP636" s="262"/>
      <c r="AQ636" s="262"/>
      <c r="AR636" s="262"/>
      <c r="AS636" s="262"/>
      <c r="AT636" s="262"/>
      <c r="AU636" s="262"/>
      <c r="AV636" s="262"/>
      <c r="AW636" s="262"/>
      <c r="AX636" s="262"/>
      <c r="AY636" s="262"/>
      <c r="AZ636" s="262"/>
      <c r="BA636" s="262"/>
      <c r="BB636" s="262"/>
      <c r="BC636" s="262"/>
      <c r="BD636" s="262"/>
      <c r="BE636" s="262"/>
      <c r="BF636" s="262"/>
      <c r="BG636" s="262"/>
      <c r="BH636" s="262"/>
      <c r="BI636" s="262"/>
      <c r="BJ636" s="262"/>
      <c r="BK636" s="262"/>
      <c r="BL636" s="262"/>
      <c r="BM636" s="262"/>
      <c r="BN636" s="262"/>
      <c r="BO636" s="262"/>
      <c r="BP636" s="262"/>
      <c r="BQ636" s="262"/>
      <c r="BR636" s="262"/>
      <c r="BS636" s="262"/>
      <c r="BT636" s="262"/>
      <c r="BU636" s="262"/>
      <c r="BV636" s="262"/>
      <c r="BW636" s="262"/>
      <c r="BX636" s="262"/>
      <c r="BY636" s="262"/>
      <c r="BZ636" s="262"/>
      <c r="CA636" s="262"/>
      <c r="CB636" s="262"/>
      <c r="CC636" s="262"/>
      <c r="CD636" s="262"/>
      <c r="CE636" s="262"/>
      <c r="CF636" s="262"/>
      <c r="CG636" s="262"/>
      <c r="CH636" s="262"/>
      <c r="CI636" s="262"/>
      <c r="CJ636" s="262"/>
      <c r="CK636" s="262"/>
      <c r="CL636" s="262"/>
      <c r="CM636" s="262"/>
      <c r="CN636" s="262"/>
      <c r="CO636" s="262"/>
      <c r="CP636" s="262"/>
      <c r="CQ636" s="262"/>
      <c r="CR636" s="262"/>
      <c r="CS636" s="262"/>
      <c r="CT636" s="262"/>
      <c r="CU636" s="262"/>
      <c r="CV636" s="262"/>
    </row>
    <row r="637" spans="33:100">
      <c r="AG637" s="262"/>
      <c r="AH637" s="262"/>
      <c r="AI637" s="262"/>
      <c r="AJ637" s="262"/>
      <c r="AK637" s="262"/>
      <c r="AL637" s="262"/>
      <c r="AM637" s="262"/>
      <c r="AN637" s="262"/>
      <c r="AO637" s="262"/>
      <c r="AP637" s="262"/>
      <c r="AQ637" s="262"/>
      <c r="AR637" s="262"/>
      <c r="AS637" s="262"/>
      <c r="AT637" s="262"/>
      <c r="AU637" s="262"/>
      <c r="AV637" s="262"/>
      <c r="AW637" s="262"/>
      <c r="AX637" s="262"/>
      <c r="AY637" s="262"/>
      <c r="AZ637" s="262"/>
      <c r="BA637" s="262"/>
      <c r="BB637" s="262"/>
      <c r="BC637" s="262"/>
      <c r="BD637" s="262"/>
      <c r="BE637" s="262"/>
      <c r="BF637" s="262"/>
      <c r="BG637" s="262"/>
      <c r="BH637" s="262"/>
      <c r="BI637" s="262"/>
      <c r="BJ637" s="262"/>
      <c r="BK637" s="262"/>
      <c r="BL637" s="262"/>
      <c r="BM637" s="262"/>
      <c r="BN637" s="262"/>
      <c r="BO637" s="262"/>
      <c r="BP637" s="262"/>
      <c r="BQ637" s="262"/>
      <c r="BR637" s="262"/>
      <c r="BS637" s="262"/>
      <c r="BT637" s="262"/>
      <c r="BU637" s="262"/>
      <c r="BV637" s="262"/>
      <c r="BW637" s="262"/>
      <c r="BX637" s="262"/>
      <c r="BY637" s="262"/>
      <c r="BZ637" s="262"/>
      <c r="CA637" s="262"/>
      <c r="CB637" s="262"/>
      <c r="CC637" s="262"/>
      <c r="CD637" s="262"/>
      <c r="CE637" s="262"/>
      <c r="CF637" s="262"/>
      <c r="CG637" s="262"/>
      <c r="CH637" s="262"/>
      <c r="CI637" s="262"/>
      <c r="CJ637" s="262"/>
      <c r="CK637" s="262"/>
      <c r="CL637" s="262"/>
      <c r="CM637" s="262"/>
      <c r="CN637" s="262"/>
      <c r="CO637" s="262"/>
      <c r="CP637" s="262"/>
      <c r="CQ637" s="262"/>
      <c r="CR637" s="262"/>
      <c r="CS637" s="262"/>
      <c r="CT637" s="262"/>
      <c r="CU637" s="262"/>
      <c r="CV637" s="262"/>
    </row>
    <row r="638" spans="33:100">
      <c r="AG638" s="262"/>
      <c r="AH638" s="262"/>
      <c r="AI638" s="262"/>
      <c r="AJ638" s="262"/>
      <c r="AK638" s="262"/>
      <c r="AL638" s="262"/>
      <c r="AM638" s="262"/>
      <c r="AN638" s="262"/>
      <c r="AO638" s="262"/>
      <c r="AP638" s="262"/>
      <c r="AQ638" s="262"/>
      <c r="AR638" s="262"/>
      <c r="AS638" s="262"/>
      <c r="AT638" s="262"/>
      <c r="AU638" s="262"/>
      <c r="AV638" s="262"/>
      <c r="AW638" s="262"/>
      <c r="AX638" s="262"/>
      <c r="AY638" s="262"/>
      <c r="AZ638" s="262"/>
      <c r="BA638" s="262"/>
      <c r="BB638" s="262"/>
      <c r="BC638" s="262"/>
      <c r="BD638" s="262"/>
      <c r="BE638" s="262"/>
      <c r="BF638" s="262"/>
      <c r="BG638" s="262"/>
      <c r="BH638" s="262"/>
      <c r="BI638" s="262"/>
      <c r="BJ638" s="262"/>
      <c r="BK638" s="262"/>
      <c r="BL638" s="262"/>
      <c r="BM638" s="262"/>
      <c r="BN638" s="262"/>
      <c r="BO638" s="262"/>
      <c r="BP638" s="262"/>
      <c r="BQ638" s="262"/>
      <c r="BR638" s="262"/>
      <c r="BS638" s="262"/>
      <c r="BT638" s="262"/>
      <c r="BU638" s="262"/>
      <c r="BV638" s="262"/>
      <c r="BW638" s="262"/>
      <c r="BX638" s="262"/>
      <c r="BY638" s="262"/>
      <c r="BZ638" s="262"/>
      <c r="CA638" s="262"/>
      <c r="CB638" s="262"/>
      <c r="CC638" s="262"/>
      <c r="CD638" s="262"/>
      <c r="CE638" s="262"/>
      <c r="CF638" s="262"/>
      <c r="CG638" s="262"/>
      <c r="CH638" s="262"/>
      <c r="CI638" s="262"/>
      <c r="CJ638" s="262"/>
      <c r="CK638" s="262"/>
      <c r="CL638" s="262"/>
      <c r="CM638" s="262"/>
      <c r="CN638" s="262"/>
      <c r="CO638" s="262"/>
      <c r="CP638" s="262"/>
      <c r="CQ638" s="262"/>
      <c r="CR638" s="262"/>
      <c r="CS638" s="262"/>
      <c r="CT638" s="262"/>
      <c r="CU638" s="262"/>
      <c r="CV638" s="262"/>
    </row>
    <row r="639" spans="33:100">
      <c r="AG639" s="262"/>
      <c r="AH639" s="262"/>
      <c r="AI639" s="262"/>
      <c r="AJ639" s="262"/>
      <c r="AK639" s="262"/>
      <c r="AL639" s="262"/>
      <c r="AM639" s="262"/>
      <c r="AN639" s="262"/>
      <c r="AO639" s="262"/>
      <c r="AP639" s="262"/>
      <c r="AQ639" s="262"/>
      <c r="AR639" s="262"/>
      <c r="AS639" s="262"/>
      <c r="AT639" s="262"/>
      <c r="AU639" s="262"/>
      <c r="AV639" s="262"/>
      <c r="AW639" s="262"/>
      <c r="AX639" s="262"/>
      <c r="AY639" s="262"/>
      <c r="AZ639" s="262"/>
      <c r="BA639" s="262"/>
      <c r="BB639" s="262"/>
      <c r="BC639" s="262"/>
      <c r="BD639" s="262"/>
      <c r="BE639" s="262"/>
      <c r="BF639" s="262"/>
      <c r="BG639" s="262"/>
      <c r="BH639" s="262"/>
      <c r="BI639" s="262"/>
      <c r="BJ639" s="262"/>
      <c r="BK639" s="262"/>
      <c r="BL639" s="262"/>
      <c r="BM639" s="262"/>
      <c r="BN639" s="262"/>
      <c r="BO639" s="262"/>
      <c r="BP639" s="262"/>
      <c r="BQ639" s="262"/>
      <c r="BR639" s="262"/>
      <c r="BS639" s="262"/>
      <c r="BT639" s="262"/>
      <c r="BU639" s="262"/>
      <c r="BV639" s="262"/>
      <c r="BW639" s="262"/>
      <c r="BX639" s="262"/>
      <c r="BY639" s="262"/>
      <c r="BZ639" s="262"/>
      <c r="CA639" s="262"/>
      <c r="CB639" s="262"/>
      <c r="CC639" s="262"/>
      <c r="CD639" s="262"/>
      <c r="CE639" s="262"/>
      <c r="CF639" s="262"/>
      <c r="CG639" s="262"/>
      <c r="CH639" s="262"/>
      <c r="CI639" s="262"/>
      <c r="CJ639" s="262"/>
      <c r="CK639" s="262"/>
      <c r="CL639" s="262"/>
      <c r="CM639" s="262"/>
      <c r="CN639" s="262"/>
      <c r="CO639" s="262"/>
      <c r="CP639" s="262"/>
      <c r="CQ639" s="262"/>
      <c r="CR639" s="262"/>
      <c r="CS639" s="262"/>
      <c r="CT639" s="262"/>
      <c r="CU639" s="262"/>
      <c r="CV639" s="262"/>
    </row>
    <row r="640" spans="33:100">
      <c r="AG640" s="262"/>
      <c r="AH640" s="262"/>
      <c r="AI640" s="262"/>
      <c r="AJ640" s="262"/>
      <c r="AK640" s="262"/>
      <c r="AL640" s="262"/>
      <c r="AM640" s="262"/>
      <c r="AN640" s="262"/>
      <c r="AO640" s="262"/>
      <c r="AP640" s="262"/>
      <c r="AQ640" s="262"/>
      <c r="AR640" s="262"/>
      <c r="AS640" s="262"/>
      <c r="AT640" s="262"/>
      <c r="AU640" s="262"/>
      <c r="AV640" s="262"/>
      <c r="AW640" s="262"/>
      <c r="AX640" s="262"/>
      <c r="AY640" s="262"/>
      <c r="AZ640" s="262"/>
      <c r="BA640" s="262"/>
      <c r="BB640" s="262"/>
      <c r="BC640" s="262"/>
      <c r="BD640" s="262"/>
      <c r="BE640" s="262"/>
      <c r="BF640" s="262"/>
      <c r="BG640" s="262"/>
      <c r="BH640" s="262"/>
      <c r="BI640" s="262"/>
      <c r="BJ640" s="262"/>
      <c r="BK640" s="262"/>
      <c r="BL640" s="262"/>
      <c r="BM640" s="262"/>
      <c r="BN640" s="262"/>
      <c r="BO640" s="262"/>
      <c r="BP640" s="262"/>
      <c r="BQ640" s="262"/>
      <c r="BR640" s="262"/>
      <c r="BS640" s="262"/>
      <c r="BT640" s="262"/>
      <c r="BU640" s="262"/>
      <c r="BV640" s="262"/>
      <c r="BW640" s="262"/>
      <c r="BX640" s="262"/>
      <c r="BY640" s="262"/>
      <c r="BZ640" s="262"/>
      <c r="CA640" s="262"/>
      <c r="CB640" s="262"/>
      <c r="CC640" s="262"/>
      <c r="CD640" s="262"/>
      <c r="CE640" s="262"/>
      <c r="CF640" s="262"/>
      <c r="CG640" s="262"/>
      <c r="CH640" s="262"/>
      <c r="CI640" s="262"/>
      <c r="CJ640" s="262"/>
      <c r="CK640" s="262"/>
      <c r="CL640" s="262"/>
      <c r="CM640" s="262"/>
      <c r="CN640" s="262"/>
      <c r="CO640" s="262"/>
      <c r="CP640" s="262"/>
      <c r="CQ640" s="262"/>
      <c r="CR640" s="262"/>
      <c r="CS640" s="262"/>
      <c r="CT640" s="262"/>
      <c r="CU640" s="262"/>
      <c r="CV640" s="262"/>
    </row>
    <row r="641" spans="33:100">
      <c r="AG641" s="262"/>
      <c r="AH641" s="262"/>
      <c r="AI641" s="262"/>
      <c r="AJ641" s="262"/>
      <c r="AK641" s="262"/>
      <c r="AL641" s="262"/>
      <c r="AM641" s="262"/>
      <c r="AN641" s="262"/>
      <c r="AO641" s="262"/>
      <c r="AP641" s="262"/>
      <c r="AQ641" s="262"/>
      <c r="AR641" s="262"/>
      <c r="AS641" s="262"/>
      <c r="AT641" s="262"/>
      <c r="AU641" s="262"/>
      <c r="AV641" s="262"/>
      <c r="AW641" s="262"/>
      <c r="AX641" s="262"/>
      <c r="AY641" s="262"/>
      <c r="AZ641" s="262"/>
      <c r="BA641" s="262"/>
      <c r="BB641" s="262"/>
      <c r="BC641" s="262"/>
      <c r="BD641" s="262"/>
      <c r="BE641" s="262"/>
      <c r="BF641" s="262"/>
      <c r="BG641" s="262"/>
      <c r="BH641" s="262"/>
      <c r="BI641" s="262"/>
      <c r="BJ641" s="262"/>
      <c r="BK641" s="262"/>
      <c r="BL641" s="262"/>
      <c r="BM641" s="262"/>
      <c r="BN641" s="262"/>
      <c r="BO641" s="262"/>
      <c r="BP641" s="262"/>
      <c r="BQ641" s="262"/>
      <c r="BR641" s="262"/>
      <c r="BS641" s="262"/>
      <c r="BT641" s="262"/>
      <c r="BU641" s="262"/>
      <c r="BV641" s="262"/>
      <c r="BW641" s="262"/>
      <c r="BX641" s="262"/>
      <c r="BY641" s="262"/>
      <c r="BZ641" s="262"/>
      <c r="CA641" s="262"/>
      <c r="CB641" s="262"/>
      <c r="CC641" s="262"/>
      <c r="CD641" s="262"/>
      <c r="CE641" s="262"/>
      <c r="CF641" s="262"/>
      <c r="CG641" s="262"/>
      <c r="CH641" s="262"/>
      <c r="CI641" s="262"/>
      <c r="CJ641" s="262"/>
      <c r="CK641" s="262"/>
      <c r="CL641" s="262"/>
      <c r="CM641" s="262"/>
      <c r="CN641" s="262"/>
      <c r="CO641" s="262"/>
      <c r="CP641" s="262"/>
      <c r="CQ641" s="262"/>
      <c r="CR641" s="262"/>
      <c r="CS641" s="262"/>
      <c r="CT641" s="262"/>
      <c r="CU641" s="262"/>
      <c r="CV641" s="262"/>
    </row>
    <row r="642" spans="33:100">
      <c r="AG642" s="262"/>
      <c r="AH642" s="262"/>
      <c r="AI642" s="262"/>
      <c r="AJ642" s="262"/>
      <c r="AK642" s="262"/>
      <c r="AL642" s="262"/>
      <c r="AM642" s="262"/>
      <c r="AN642" s="262"/>
      <c r="AO642" s="262"/>
      <c r="AP642" s="262"/>
      <c r="AQ642" s="262"/>
      <c r="AR642" s="262"/>
      <c r="AS642" s="262"/>
      <c r="AT642" s="262"/>
      <c r="AU642" s="262"/>
      <c r="AV642" s="262"/>
      <c r="AW642" s="262"/>
      <c r="AX642" s="262"/>
      <c r="AY642" s="262"/>
      <c r="AZ642" s="262"/>
      <c r="BA642" s="262"/>
      <c r="BB642" s="262"/>
      <c r="BC642" s="262"/>
      <c r="BD642" s="262"/>
      <c r="BE642" s="262"/>
      <c r="BF642" s="262"/>
      <c r="BG642" s="262"/>
      <c r="BH642" s="262"/>
      <c r="BI642" s="262"/>
      <c r="BJ642" s="262"/>
      <c r="BK642" s="262"/>
      <c r="BL642" s="262"/>
      <c r="BM642" s="262"/>
      <c r="BN642" s="262"/>
      <c r="BO642" s="262"/>
      <c r="BP642" s="262"/>
      <c r="BQ642" s="262"/>
      <c r="BR642" s="262"/>
      <c r="BS642" s="262"/>
      <c r="BT642" s="262"/>
      <c r="BU642" s="262"/>
      <c r="BV642" s="262"/>
      <c r="BW642" s="262"/>
      <c r="BX642" s="262"/>
      <c r="BY642" s="262"/>
      <c r="BZ642" s="262"/>
      <c r="CA642" s="262"/>
      <c r="CB642" s="262"/>
      <c r="CC642" s="262"/>
      <c r="CD642" s="262"/>
      <c r="CE642" s="262"/>
      <c r="CF642" s="262"/>
      <c r="CG642" s="262"/>
      <c r="CH642" s="262"/>
      <c r="CI642" s="262"/>
      <c r="CJ642" s="262"/>
      <c r="CK642" s="262"/>
      <c r="CL642" s="262"/>
      <c r="CM642" s="262"/>
      <c r="CN642" s="262"/>
      <c r="CO642" s="262"/>
      <c r="CP642" s="262"/>
      <c r="CQ642" s="262"/>
      <c r="CR642" s="262"/>
      <c r="CS642" s="262"/>
      <c r="CT642" s="262"/>
      <c r="CU642" s="262"/>
      <c r="CV642" s="262"/>
    </row>
    <row r="643" spans="33:100">
      <c r="AG643" s="262"/>
      <c r="AH643" s="262"/>
      <c r="AI643" s="262"/>
      <c r="AJ643" s="262"/>
      <c r="AK643" s="262"/>
      <c r="AL643" s="262"/>
      <c r="AM643" s="262"/>
      <c r="AN643" s="262"/>
      <c r="AO643" s="262"/>
      <c r="AP643" s="262"/>
      <c r="AQ643" s="262"/>
      <c r="AR643" s="262"/>
      <c r="AS643" s="262"/>
      <c r="AT643" s="262"/>
      <c r="AU643" s="262"/>
      <c r="AV643" s="262"/>
      <c r="AW643" s="262"/>
      <c r="AX643" s="262"/>
      <c r="AY643" s="262"/>
      <c r="AZ643" s="262"/>
      <c r="BA643" s="262"/>
      <c r="BB643" s="262"/>
      <c r="BC643" s="262"/>
      <c r="BD643" s="262"/>
      <c r="BE643" s="262"/>
      <c r="BF643" s="262"/>
      <c r="BG643" s="262"/>
      <c r="BH643" s="262"/>
      <c r="BI643" s="262"/>
      <c r="BJ643" s="262"/>
      <c r="BK643" s="262"/>
      <c r="BL643" s="262"/>
      <c r="BM643" s="262"/>
      <c r="BN643" s="262"/>
      <c r="BO643" s="262"/>
      <c r="BP643" s="262"/>
      <c r="BQ643" s="262"/>
      <c r="BR643" s="262"/>
      <c r="BS643" s="262"/>
      <c r="BT643" s="262"/>
      <c r="BU643" s="262"/>
      <c r="BV643" s="262"/>
      <c r="BW643" s="262"/>
      <c r="BX643" s="262"/>
      <c r="BY643" s="262"/>
      <c r="BZ643" s="262"/>
      <c r="CA643" s="262"/>
      <c r="CB643" s="262"/>
      <c r="CC643" s="262"/>
      <c r="CD643" s="262"/>
      <c r="CE643" s="262"/>
      <c r="CF643" s="262"/>
      <c r="CG643" s="262"/>
      <c r="CH643" s="262"/>
      <c r="CI643" s="262"/>
      <c r="CJ643" s="262"/>
      <c r="CK643" s="262"/>
      <c r="CL643" s="262"/>
      <c r="CM643" s="262"/>
      <c r="CN643" s="262"/>
      <c r="CO643" s="262"/>
      <c r="CP643" s="262"/>
      <c r="CQ643" s="262"/>
      <c r="CR643" s="262"/>
      <c r="CS643" s="262"/>
      <c r="CT643" s="262"/>
      <c r="CU643" s="262"/>
      <c r="CV643" s="262"/>
    </row>
    <row r="644" spans="33:100">
      <c r="AG644" s="262"/>
      <c r="AH644" s="262"/>
      <c r="AI644" s="262"/>
      <c r="AJ644" s="262"/>
      <c r="AK644" s="262"/>
      <c r="AL644" s="262"/>
      <c r="AM644" s="262"/>
      <c r="AN644" s="262"/>
      <c r="AO644" s="262"/>
      <c r="AP644" s="262"/>
      <c r="AQ644" s="262"/>
      <c r="AR644" s="262"/>
      <c r="AS644" s="262"/>
      <c r="AT644" s="262"/>
      <c r="AU644" s="262"/>
      <c r="AV644" s="262"/>
      <c r="AW644" s="262"/>
      <c r="AX644" s="262"/>
      <c r="AY644" s="262"/>
      <c r="AZ644" s="262"/>
      <c r="BA644" s="262"/>
      <c r="BB644" s="262"/>
      <c r="BC644" s="262"/>
      <c r="BD644" s="262"/>
      <c r="BE644" s="262"/>
      <c r="BF644" s="262"/>
      <c r="BG644" s="262"/>
      <c r="BH644" s="262"/>
      <c r="BI644" s="262"/>
      <c r="BJ644" s="262"/>
      <c r="BK644" s="262"/>
      <c r="BL644" s="262"/>
      <c r="BM644" s="262"/>
      <c r="BN644" s="262"/>
      <c r="BO644" s="262"/>
      <c r="BP644" s="262"/>
      <c r="BQ644" s="262"/>
      <c r="BR644" s="262"/>
      <c r="BS644" s="262"/>
      <c r="BT644" s="262"/>
      <c r="BU644" s="262"/>
      <c r="BV644" s="262"/>
      <c r="BW644" s="262"/>
      <c r="BX644" s="262"/>
      <c r="BY644" s="262"/>
      <c r="BZ644" s="262"/>
      <c r="CA644" s="262"/>
      <c r="CB644" s="262"/>
      <c r="CC644" s="262"/>
      <c r="CD644" s="262"/>
      <c r="CE644" s="262"/>
      <c r="CF644" s="262"/>
      <c r="CG644" s="262"/>
      <c r="CH644" s="262"/>
      <c r="CI644" s="262"/>
      <c r="CJ644" s="262"/>
      <c r="CK644" s="262"/>
      <c r="CL644" s="262"/>
      <c r="CM644" s="262"/>
      <c r="CN644" s="262"/>
      <c r="CO644" s="262"/>
      <c r="CP644" s="262"/>
      <c r="CQ644" s="262"/>
      <c r="CR644" s="262"/>
      <c r="CS644" s="262"/>
      <c r="CT644" s="262"/>
      <c r="CU644" s="262"/>
      <c r="CV644" s="262"/>
    </row>
    <row r="645" spans="33:100">
      <c r="AG645" s="262"/>
      <c r="AH645" s="262"/>
      <c r="AI645" s="262"/>
      <c r="AJ645" s="262"/>
      <c r="AK645" s="262"/>
      <c r="AL645" s="262"/>
      <c r="AM645" s="262"/>
      <c r="AN645" s="262"/>
      <c r="AO645" s="262"/>
      <c r="AP645" s="262"/>
      <c r="AQ645" s="262"/>
      <c r="AR645" s="262"/>
      <c r="AS645" s="262"/>
      <c r="AT645" s="262"/>
      <c r="AU645" s="262"/>
      <c r="AV645" s="262"/>
      <c r="AW645" s="262"/>
      <c r="AX645" s="262"/>
      <c r="AY645" s="262"/>
      <c r="AZ645" s="262"/>
      <c r="BA645" s="262"/>
      <c r="BB645" s="262"/>
      <c r="BC645" s="262"/>
      <c r="BD645" s="262"/>
      <c r="BE645" s="262"/>
      <c r="BF645" s="262"/>
      <c r="BG645" s="262"/>
      <c r="BH645" s="262"/>
      <c r="BI645" s="262"/>
      <c r="BJ645" s="262"/>
      <c r="BK645" s="262"/>
      <c r="BL645" s="262"/>
      <c r="BM645" s="262"/>
      <c r="BN645" s="262"/>
      <c r="BO645" s="262"/>
      <c r="BP645" s="262"/>
      <c r="BQ645" s="262"/>
      <c r="BR645" s="262"/>
      <c r="BS645" s="262"/>
      <c r="BT645" s="262"/>
      <c r="BU645" s="262"/>
      <c r="BV645" s="262"/>
      <c r="BW645" s="262"/>
      <c r="BX645" s="262"/>
      <c r="BY645" s="262"/>
      <c r="BZ645" s="262"/>
      <c r="CA645" s="262"/>
      <c r="CB645" s="262"/>
      <c r="CC645" s="262"/>
      <c r="CD645" s="262"/>
      <c r="CE645" s="262"/>
      <c r="CF645" s="262"/>
      <c r="CG645" s="262"/>
      <c r="CH645" s="262"/>
      <c r="CI645" s="262"/>
      <c r="CJ645" s="262"/>
      <c r="CK645" s="262"/>
      <c r="CL645" s="262"/>
      <c r="CM645" s="262"/>
      <c r="CN645" s="262"/>
      <c r="CO645" s="262"/>
      <c r="CP645" s="262"/>
      <c r="CQ645" s="262"/>
      <c r="CR645" s="262"/>
      <c r="CS645" s="262"/>
      <c r="CT645" s="262"/>
      <c r="CU645" s="262"/>
      <c r="CV645" s="262"/>
    </row>
    <row r="646" spans="33:100">
      <c r="AG646" s="262"/>
      <c r="AH646" s="262"/>
      <c r="AI646" s="262"/>
      <c r="AJ646" s="262"/>
      <c r="AK646" s="262"/>
      <c r="AL646" s="262"/>
      <c r="AM646" s="262"/>
      <c r="AN646" s="262"/>
      <c r="AO646" s="262"/>
      <c r="AP646" s="262"/>
      <c r="AQ646" s="262"/>
      <c r="AR646" s="262"/>
      <c r="AS646" s="262"/>
      <c r="AT646" s="262"/>
      <c r="AU646" s="262"/>
      <c r="AV646" s="262"/>
      <c r="AW646" s="262"/>
      <c r="AX646" s="262"/>
      <c r="AY646" s="262"/>
      <c r="AZ646" s="262"/>
      <c r="BA646" s="262"/>
      <c r="BB646" s="262"/>
      <c r="BC646" s="262"/>
      <c r="BD646" s="262"/>
      <c r="BE646" s="262"/>
      <c r="BF646" s="262"/>
      <c r="BG646" s="262"/>
      <c r="BH646" s="262"/>
      <c r="BI646" s="262"/>
      <c r="BJ646" s="262"/>
      <c r="BK646" s="262"/>
      <c r="BL646" s="262"/>
      <c r="BM646" s="262"/>
      <c r="BN646" s="262"/>
      <c r="BO646" s="262"/>
      <c r="BP646" s="262"/>
      <c r="BQ646" s="262"/>
      <c r="BR646" s="262"/>
      <c r="BS646" s="262"/>
      <c r="BT646" s="262"/>
      <c r="BU646" s="262"/>
      <c r="BV646" s="262"/>
      <c r="BW646" s="262"/>
      <c r="BX646" s="262"/>
      <c r="BY646" s="262"/>
      <c r="BZ646" s="262"/>
      <c r="CA646" s="262"/>
      <c r="CB646" s="262"/>
      <c r="CC646" s="262"/>
      <c r="CD646" s="262"/>
      <c r="CE646" s="262"/>
      <c r="CF646" s="262"/>
      <c r="CG646" s="262"/>
      <c r="CH646" s="262"/>
      <c r="CI646" s="262"/>
      <c r="CJ646" s="262"/>
      <c r="CK646" s="262"/>
      <c r="CL646" s="262"/>
      <c r="CM646" s="262"/>
      <c r="CN646" s="262"/>
      <c r="CO646" s="262"/>
      <c r="CP646" s="262"/>
      <c r="CQ646" s="262"/>
      <c r="CR646" s="262"/>
      <c r="CS646" s="262"/>
      <c r="CT646" s="262"/>
      <c r="CU646" s="262"/>
      <c r="CV646" s="262"/>
    </row>
    <row r="647" spans="33:100">
      <c r="AG647" s="262"/>
      <c r="AH647" s="262"/>
      <c r="AI647" s="262"/>
      <c r="AJ647" s="262"/>
      <c r="AK647" s="262"/>
      <c r="AL647" s="262"/>
      <c r="AM647" s="262"/>
      <c r="AN647" s="262"/>
      <c r="AO647" s="262"/>
      <c r="AP647" s="262"/>
      <c r="AQ647" s="262"/>
      <c r="AR647" s="262"/>
      <c r="AS647" s="262"/>
      <c r="AT647" s="262"/>
      <c r="AU647" s="262"/>
      <c r="AV647" s="262"/>
      <c r="AW647" s="262"/>
      <c r="AX647" s="262"/>
      <c r="AY647" s="262"/>
      <c r="AZ647" s="262"/>
      <c r="BA647" s="262"/>
      <c r="BB647" s="262"/>
      <c r="BC647" s="262"/>
      <c r="BD647" s="262"/>
      <c r="BE647" s="262"/>
      <c r="BF647" s="262"/>
      <c r="BG647" s="262"/>
      <c r="BH647" s="262"/>
      <c r="BI647" s="262"/>
      <c r="BJ647" s="262"/>
      <c r="BK647" s="262"/>
      <c r="BL647" s="262"/>
      <c r="BM647" s="262"/>
      <c r="BN647" s="262"/>
      <c r="BO647" s="262"/>
      <c r="BP647" s="262"/>
      <c r="BQ647" s="262"/>
      <c r="BR647" s="262"/>
      <c r="BS647" s="262"/>
      <c r="BT647" s="262"/>
      <c r="BU647" s="262"/>
      <c r="BV647" s="262"/>
      <c r="BW647" s="262"/>
      <c r="BX647" s="262"/>
      <c r="BY647" s="262"/>
      <c r="BZ647" s="262"/>
      <c r="CA647" s="262"/>
      <c r="CB647" s="262"/>
      <c r="CC647" s="262"/>
      <c r="CD647" s="262"/>
      <c r="CE647" s="262"/>
      <c r="CF647" s="262"/>
      <c r="CG647" s="262"/>
      <c r="CH647" s="262"/>
      <c r="CI647" s="262"/>
      <c r="CJ647" s="262"/>
      <c r="CK647" s="262"/>
      <c r="CL647" s="262"/>
      <c r="CM647" s="262"/>
      <c r="CN647" s="262"/>
      <c r="CO647" s="262"/>
      <c r="CP647" s="262"/>
      <c r="CQ647" s="262"/>
      <c r="CR647" s="262"/>
      <c r="CS647" s="262"/>
      <c r="CT647" s="262"/>
      <c r="CU647" s="262"/>
      <c r="CV647" s="262"/>
    </row>
    <row r="648" spans="33:100">
      <c r="AG648" s="262"/>
      <c r="AH648" s="262"/>
      <c r="AI648" s="262"/>
      <c r="AJ648" s="262"/>
      <c r="AK648" s="262"/>
      <c r="AL648" s="262"/>
      <c r="AM648" s="262"/>
      <c r="AN648" s="262"/>
      <c r="AO648" s="262"/>
      <c r="AP648" s="262"/>
      <c r="AQ648" s="262"/>
      <c r="AR648" s="262"/>
      <c r="AS648" s="262"/>
      <c r="AT648" s="262"/>
      <c r="AU648" s="262"/>
      <c r="AV648" s="262"/>
      <c r="AW648" s="262"/>
      <c r="AX648" s="262"/>
      <c r="AY648" s="262"/>
      <c r="AZ648" s="262"/>
      <c r="BA648" s="262"/>
      <c r="BB648" s="262"/>
      <c r="BC648" s="262"/>
      <c r="BD648" s="262"/>
      <c r="BE648" s="262"/>
      <c r="BF648" s="262"/>
      <c r="BG648" s="262"/>
      <c r="BH648" s="262"/>
      <c r="BI648" s="262"/>
      <c r="BJ648" s="262"/>
      <c r="BK648" s="262"/>
      <c r="BL648" s="262"/>
      <c r="BM648" s="262"/>
      <c r="BN648" s="262"/>
      <c r="BO648" s="262"/>
      <c r="BP648" s="262"/>
      <c r="BQ648" s="262"/>
      <c r="BR648" s="262"/>
      <c r="BS648" s="262"/>
      <c r="BT648" s="262"/>
      <c r="BU648" s="262"/>
      <c r="BV648" s="262"/>
      <c r="BW648" s="262"/>
      <c r="BX648" s="262"/>
      <c r="BY648" s="262"/>
      <c r="BZ648" s="262"/>
      <c r="CA648" s="262"/>
      <c r="CB648" s="262"/>
      <c r="CC648" s="262"/>
      <c r="CD648" s="262"/>
      <c r="CE648" s="262"/>
      <c r="CF648" s="262"/>
      <c r="CG648" s="262"/>
      <c r="CH648" s="262"/>
      <c r="CI648" s="262"/>
      <c r="CJ648" s="262"/>
      <c r="CK648" s="262"/>
      <c r="CL648" s="262"/>
      <c r="CM648" s="262"/>
      <c r="CN648" s="262"/>
      <c r="CO648" s="262"/>
      <c r="CP648" s="262"/>
      <c r="CQ648" s="262"/>
      <c r="CR648" s="262"/>
      <c r="CS648" s="262"/>
      <c r="CT648" s="262"/>
      <c r="CU648" s="262"/>
      <c r="CV648" s="262"/>
    </row>
    <row r="649" spans="33:100">
      <c r="AG649" s="262"/>
      <c r="AH649" s="262"/>
      <c r="AI649" s="262"/>
      <c r="AJ649" s="262"/>
      <c r="AK649" s="262"/>
      <c r="AL649" s="262"/>
      <c r="AM649" s="262"/>
      <c r="AN649" s="262"/>
      <c r="AO649" s="262"/>
      <c r="AP649" s="262"/>
      <c r="AQ649" s="262"/>
      <c r="AR649" s="262"/>
      <c r="AS649" s="262"/>
      <c r="AT649" s="262"/>
      <c r="AU649" s="262"/>
      <c r="AV649" s="262"/>
      <c r="AW649" s="262"/>
      <c r="AX649" s="262"/>
      <c r="AY649" s="262"/>
      <c r="AZ649" s="262"/>
      <c r="BA649" s="262"/>
      <c r="BB649" s="262"/>
      <c r="BC649" s="262"/>
      <c r="BD649" s="262"/>
      <c r="BE649" s="262"/>
      <c r="BF649" s="262"/>
      <c r="BG649" s="262"/>
      <c r="BH649" s="262"/>
      <c r="BI649" s="262"/>
      <c r="BJ649" s="262"/>
      <c r="BK649" s="262"/>
      <c r="BL649" s="262"/>
      <c r="BM649" s="262"/>
      <c r="BN649" s="262"/>
      <c r="BO649" s="262"/>
      <c r="BP649" s="262"/>
      <c r="BQ649" s="262"/>
      <c r="BR649" s="262"/>
      <c r="BS649" s="262"/>
      <c r="BT649" s="262"/>
      <c r="BU649" s="262"/>
      <c r="BV649" s="262"/>
      <c r="BW649" s="262"/>
      <c r="BX649" s="262"/>
      <c r="BY649" s="262"/>
      <c r="BZ649" s="262"/>
      <c r="CA649" s="262"/>
      <c r="CB649" s="262"/>
      <c r="CC649" s="262"/>
      <c r="CD649" s="262"/>
      <c r="CE649" s="262"/>
      <c r="CF649" s="262"/>
      <c r="CG649" s="262"/>
      <c r="CH649" s="262"/>
      <c r="CI649" s="262"/>
      <c r="CJ649" s="262"/>
      <c r="CK649" s="262"/>
      <c r="CL649" s="262"/>
      <c r="CM649" s="262"/>
      <c r="CN649" s="262"/>
      <c r="CO649" s="262"/>
      <c r="CP649" s="262"/>
      <c r="CQ649" s="262"/>
      <c r="CR649" s="262"/>
      <c r="CS649" s="262"/>
      <c r="CT649" s="262"/>
      <c r="CU649" s="262"/>
      <c r="CV649" s="262"/>
    </row>
    <row r="650" spans="33:100">
      <c r="AG650" s="262"/>
      <c r="AH650" s="262"/>
      <c r="AI650" s="262"/>
      <c r="AJ650" s="262"/>
      <c r="AK650" s="262"/>
      <c r="AL650" s="262"/>
      <c r="AM650" s="262"/>
      <c r="AN650" s="262"/>
      <c r="AO650" s="262"/>
      <c r="AP650" s="262"/>
      <c r="AQ650" s="262"/>
      <c r="AR650" s="262"/>
      <c r="AS650" s="262"/>
      <c r="AT650" s="262"/>
      <c r="AU650" s="262"/>
      <c r="AV650" s="262"/>
      <c r="AW650" s="262"/>
      <c r="AX650" s="262"/>
      <c r="AY650" s="262"/>
      <c r="AZ650" s="262"/>
      <c r="BA650" s="262"/>
      <c r="BB650" s="262"/>
      <c r="BC650" s="262"/>
      <c r="BD650" s="262"/>
      <c r="BE650" s="262"/>
      <c r="BF650" s="262"/>
      <c r="BG650" s="262"/>
      <c r="BH650" s="262"/>
      <c r="BI650" s="262"/>
      <c r="BJ650" s="262"/>
      <c r="BK650" s="262"/>
      <c r="BL650" s="262"/>
      <c r="BM650" s="262"/>
      <c r="BN650" s="262"/>
      <c r="BO650" s="262"/>
      <c r="BP650" s="262"/>
      <c r="BQ650" s="262"/>
      <c r="BR650" s="262"/>
      <c r="BS650" s="262"/>
      <c r="BT650" s="262"/>
      <c r="BU650" s="262"/>
      <c r="BV650" s="262"/>
      <c r="BW650" s="262"/>
      <c r="BX650" s="262"/>
      <c r="BY650" s="262"/>
      <c r="BZ650" s="262"/>
      <c r="CA650" s="262"/>
      <c r="CB650" s="262"/>
      <c r="CC650" s="262"/>
      <c r="CD650" s="262"/>
      <c r="CE650" s="262"/>
      <c r="CF650" s="262"/>
      <c r="CG650" s="262"/>
      <c r="CH650" s="262"/>
      <c r="CI650" s="262"/>
      <c r="CJ650" s="262"/>
      <c r="CK650" s="262"/>
      <c r="CL650" s="262"/>
      <c r="CM650" s="262"/>
      <c r="CN650" s="262"/>
      <c r="CO650" s="262"/>
      <c r="CP650" s="262"/>
      <c r="CQ650" s="262"/>
      <c r="CR650" s="262"/>
      <c r="CS650" s="262"/>
      <c r="CT650" s="262"/>
      <c r="CU650" s="262"/>
      <c r="CV650" s="262"/>
    </row>
    <row r="651" spans="33:100">
      <c r="AG651" s="262"/>
      <c r="AH651" s="262"/>
      <c r="AI651" s="262"/>
      <c r="AJ651" s="262"/>
      <c r="AK651" s="262"/>
      <c r="AL651" s="262"/>
      <c r="AM651" s="262"/>
      <c r="AN651" s="262"/>
      <c r="AO651" s="262"/>
      <c r="AP651" s="262"/>
      <c r="AQ651" s="262"/>
      <c r="AR651" s="262"/>
      <c r="AS651" s="262"/>
      <c r="AT651" s="262"/>
      <c r="AU651" s="262"/>
      <c r="AV651" s="262"/>
      <c r="AW651" s="262"/>
      <c r="AX651" s="262"/>
      <c r="AY651" s="262"/>
      <c r="AZ651" s="262"/>
      <c r="BA651" s="262"/>
      <c r="BB651" s="262"/>
      <c r="BC651" s="262"/>
      <c r="BD651" s="262"/>
      <c r="BE651" s="262"/>
      <c r="BF651" s="262"/>
      <c r="BG651" s="262"/>
      <c r="BH651" s="262"/>
      <c r="BI651" s="262"/>
      <c r="BJ651" s="262"/>
      <c r="BK651" s="262"/>
      <c r="BL651" s="262"/>
      <c r="BM651" s="262"/>
      <c r="BN651" s="262"/>
      <c r="BO651" s="262"/>
      <c r="BP651" s="262"/>
      <c r="BQ651" s="262"/>
      <c r="BR651" s="262"/>
      <c r="BS651" s="262"/>
      <c r="BT651" s="262"/>
      <c r="BU651" s="262"/>
      <c r="BV651" s="262"/>
      <c r="BW651" s="262"/>
      <c r="BX651" s="262"/>
      <c r="BY651" s="262"/>
      <c r="BZ651" s="262"/>
      <c r="CA651" s="262"/>
      <c r="CB651" s="262"/>
      <c r="CC651" s="262"/>
      <c r="CD651" s="262"/>
      <c r="CE651" s="262"/>
      <c r="CF651" s="262"/>
      <c r="CG651" s="262"/>
      <c r="CH651" s="262"/>
      <c r="CI651" s="262"/>
      <c r="CJ651" s="262"/>
      <c r="CK651" s="262"/>
      <c r="CL651" s="262"/>
      <c r="CM651" s="262"/>
      <c r="CN651" s="262"/>
      <c r="CO651" s="262"/>
      <c r="CP651" s="262"/>
      <c r="CQ651" s="262"/>
      <c r="CR651" s="262"/>
      <c r="CS651" s="262"/>
      <c r="CT651" s="262"/>
      <c r="CU651" s="262"/>
      <c r="CV651" s="262"/>
    </row>
    <row r="652" spans="33:100">
      <c r="AG652" s="262"/>
      <c r="AH652" s="262"/>
      <c r="AI652" s="262"/>
      <c r="AJ652" s="262"/>
      <c r="AK652" s="262"/>
      <c r="AL652" s="262"/>
      <c r="AM652" s="262"/>
      <c r="AN652" s="262"/>
      <c r="AO652" s="262"/>
      <c r="AP652" s="262"/>
      <c r="AQ652" s="262"/>
      <c r="AR652" s="262"/>
      <c r="AS652" s="262"/>
      <c r="AT652" s="262"/>
      <c r="AU652" s="262"/>
      <c r="AV652" s="262"/>
      <c r="AW652" s="262"/>
      <c r="AX652" s="262"/>
      <c r="AY652" s="262"/>
      <c r="AZ652" s="262"/>
      <c r="BA652" s="262"/>
      <c r="BB652" s="262"/>
      <c r="BC652" s="262"/>
      <c r="BD652" s="262"/>
      <c r="BE652" s="262"/>
      <c r="BF652" s="262"/>
      <c r="BG652" s="262"/>
      <c r="BH652" s="262"/>
      <c r="BI652" s="262"/>
      <c r="BJ652" s="262"/>
      <c r="BK652" s="262"/>
      <c r="BL652" s="262"/>
      <c r="BM652" s="262"/>
      <c r="BN652" s="262"/>
      <c r="BO652" s="262"/>
      <c r="BP652" s="262"/>
      <c r="BQ652" s="262"/>
      <c r="BR652" s="262"/>
      <c r="BS652" s="262"/>
      <c r="BT652" s="262"/>
      <c r="BU652" s="262"/>
      <c r="BV652" s="262"/>
      <c r="BW652" s="262"/>
      <c r="BX652" s="262"/>
      <c r="BY652" s="262"/>
      <c r="BZ652" s="262"/>
      <c r="CA652" s="262"/>
      <c r="CB652" s="262"/>
      <c r="CC652" s="262"/>
      <c r="CD652" s="262"/>
      <c r="CE652" s="262"/>
      <c r="CF652" s="262"/>
      <c r="CG652" s="262"/>
      <c r="CH652" s="262"/>
      <c r="CI652" s="262"/>
      <c r="CJ652" s="262"/>
      <c r="CK652" s="262"/>
      <c r="CL652" s="262"/>
      <c r="CM652" s="262"/>
      <c r="CN652" s="262"/>
      <c r="CO652" s="262"/>
      <c r="CP652" s="262"/>
      <c r="CQ652" s="262"/>
      <c r="CR652" s="262"/>
      <c r="CS652" s="262"/>
      <c r="CT652" s="262"/>
      <c r="CU652" s="262"/>
      <c r="CV652" s="262"/>
    </row>
    <row r="653" spans="33:100">
      <c r="AG653" s="262"/>
      <c r="AH653" s="262"/>
      <c r="AI653" s="262"/>
      <c r="AJ653" s="262"/>
      <c r="AK653" s="262"/>
      <c r="AL653" s="262"/>
      <c r="AM653" s="262"/>
      <c r="AN653" s="262"/>
      <c r="AO653" s="262"/>
      <c r="AP653" s="262"/>
      <c r="AQ653" s="262"/>
      <c r="AR653" s="262"/>
      <c r="AS653" s="262"/>
      <c r="AT653" s="262"/>
      <c r="AU653" s="262"/>
      <c r="AV653" s="262"/>
      <c r="AW653" s="262"/>
      <c r="AX653" s="262"/>
      <c r="AY653" s="262"/>
      <c r="AZ653" s="262"/>
      <c r="BA653" s="262"/>
      <c r="BB653" s="262"/>
      <c r="BC653" s="262"/>
      <c r="BD653" s="262"/>
      <c r="BE653" s="262"/>
      <c r="BF653" s="262"/>
      <c r="BG653" s="262"/>
      <c r="BH653" s="262"/>
      <c r="BI653" s="262"/>
      <c r="BJ653" s="262"/>
      <c r="BK653" s="262"/>
      <c r="BL653" s="262"/>
      <c r="BM653" s="262"/>
      <c r="BN653" s="262"/>
      <c r="BO653" s="262"/>
      <c r="BP653" s="262"/>
      <c r="BQ653" s="262"/>
      <c r="BR653" s="262"/>
      <c r="BS653" s="262"/>
      <c r="BT653" s="262"/>
      <c r="BU653" s="262"/>
      <c r="BV653" s="262"/>
      <c r="BW653" s="262"/>
      <c r="BX653" s="262"/>
      <c r="BY653" s="262"/>
      <c r="BZ653" s="262"/>
      <c r="CA653" s="262"/>
      <c r="CB653" s="262"/>
      <c r="CC653" s="262"/>
      <c r="CD653" s="262"/>
      <c r="CE653" s="262"/>
      <c r="CF653" s="262"/>
      <c r="CG653" s="262"/>
      <c r="CH653" s="262"/>
      <c r="CI653" s="262"/>
      <c r="CJ653" s="262"/>
      <c r="CK653" s="262"/>
      <c r="CL653" s="262"/>
      <c r="CM653" s="262"/>
      <c r="CN653" s="262"/>
      <c r="CO653" s="262"/>
      <c r="CP653" s="262"/>
      <c r="CQ653" s="262"/>
      <c r="CR653" s="262"/>
      <c r="CS653" s="262"/>
      <c r="CT653" s="262"/>
      <c r="CU653" s="262"/>
      <c r="CV653" s="262"/>
    </row>
    <row r="654" spans="33:100">
      <c r="AG654" s="262"/>
      <c r="AH654" s="262"/>
      <c r="AI654" s="262"/>
      <c r="AJ654" s="262"/>
      <c r="AK654" s="262"/>
      <c r="AL654" s="262"/>
      <c r="AM654" s="262"/>
      <c r="AN654" s="262"/>
      <c r="AO654" s="262"/>
      <c r="AP654" s="262"/>
      <c r="AQ654" s="262"/>
      <c r="AR654" s="262"/>
      <c r="AS654" s="262"/>
      <c r="AT654" s="262"/>
      <c r="AU654" s="262"/>
      <c r="AV654" s="262"/>
      <c r="AW654" s="262"/>
      <c r="AX654" s="262"/>
      <c r="AY654" s="262"/>
      <c r="AZ654" s="262"/>
      <c r="BA654" s="262"/>
      <c r="BB654" s="262"/>
      <c r="BC654" s="262"/>
      <c r="BD654" s="262"/>
      <c r="BE654" s="262"/>
      <c r="BF654" s="262"/>
      <c r="BG654" s="262"/>
      <c r="BH654" s="262"/>
      <c r="BI654" s="262"/>
      <c r="BJ654" s="262"/>
      <c r="BK654" s="262"/>
      <c r="BL654" s="262"/>
      <c r="BM654" s="262"/>
      <c r="BN654" s="262"/>
      <c r="BO654" s="262"/>
      <c r="BP654" s="262"/>
      <c r="BQ654" s="262"/>
      <c r="BR654" s="262"/>
      <c r="BS654" s="262"/>
      <c r="BT654" s="262"/>
      <c r="BU654" s="262"/>
      <c r="BV654" s="262"/>
      <c r="BW654" s="262"/>
      <c r="BX654" s="262"/>
      <c r="BY654" s="262"/>
      <c r="BZ654" s="262"/>
      <c r="CA654" s="262"/>
      <c r="CB654" s="262"/>
      <c r="CC654" s="262"/>
      <c r="CD654" s="262"/>
      <c r="CE654" s="262"/>
      <c r="CF654" s="262"/>
      <c r="CG654" s="262"/>
      <c r="CH654" s="262"/>
      <c r="CI654" s="262"/>
      <c r="CJ654" s="262"/>
      <c r="CK654" s="262"/>
      <c r="CL654" s="262"/>
      <c r="CM654" s="262"/>
      <c r="CN654" s="262"/>
      <c r="CO654" s="262"/>
      <c r="CP654" s="262"/>
      <c r="CQ654" s="262"/>
      <c r="CR654" s="262"/>
      <c r="CS654" s="262"/>
      <c r="CT654" s="262"/>
      <c r="CU654" s="262"/>
      <c r="CV654" s="262"/>
    </row>
    <row r="655" spans="33:100">
      <c r="AG655" s="262"/>
      <c r="AH655" s="262"/>
      <c r="AI655" s="262"/>
      <c r="AJ655" s="262"/>
      <c r="AK655" s="262"/>
      <c r="AL655" s="262"/>
      <c r="AM655" s="262"/>
      <c r="AN655" s="262"/>
      <c r="AO655" s="262"/>
      <c r="AP655" s="262"/>
      <c r="AQ655" s="262"/>
      <c r="AR655" s="262"/>
      <c r="AS655" s="262"/>
      <c r="AT655" s="262"/>
      <c r="AU655" s="262"/>
      <c r="AV655" s="262"/>
      <c r="AW655" s="262"/>
      <c r="AX655" s="262"/>
      <c r="AY655" s="262"/>
      <c r="AZ655" s="262"/>
      <c r="BA655" s="262"/>
      <c r="BB655" s="262"/>
      <c r="BC655" s="262"/>
      <c r="BD655" s="262"/>
      <c r="BE655" s="262"/>
      <c r="BF655" s="262"/>
      <c r="BG655" s="262"/>
      <c r="BH655" s="262"/>
      <c r="BI655" s="262"/>
      <c r="BJ655" s="262"/>
      <c r="BK655" s="262"/>
      <c r="BL655" s="262"/>
      <c r="BM655" s="262"/>
      <c r="BN655" s="262"/>
      <c r="BO655" s="262"/>
      <c r="BP655" s="262"/>
      <c r="BQ655" s="262"/>
      <c r="BR655" s="262"/>
      <c r="BS655" s="262"/>
      <c r="BT655" s="262"/>
      <c r="BU655" s="262"/>
      <c r="BV655" s="262"/>
      <c r="BW655" s="262"/>
      <c r="BX655" s="262"/>
      <c r="BY655" s="262"/>
      <c r="BZ655" s="262"/>
      <c r="CA655" s="262"/>
      <c r="CB655" s="262"/>
      <c r="CC655" s="262"/>
      <c r="CD655" s="262"/>
      <c r="CE655" s="262"/>
      <c r="CF655" s="262"/>
      <c r="CG655" s="262"/>
      <c r="CH655" s="262"/>
      <c r="CI655" s="262"/>
      <c r="CJ655" s="262"/>
      <c r="CK655" s="262"/>
      <c r="CL655" s="262"/>
      <c r="CM655" s="262"/>
      <c r="CN655" s="262"/>
      <c r="CO655" s="262"/>
      <c r="CP655" s="262"/>
      <c r="CQ655" s="262"/>
      <c r="CR655" s="262"/>
      <c r="CS655" s="262"/>
      <c r="CT655" s="262"/>
      <c r="CU655" s="262"/>
      <c r="CV655" s="262"/>
    </row>
    <row r="656" spans="33:100">
      <c r="AG656" s="262"/>
      <c r="AH656" s="262"/>
      <c r="AI656" s="262"/>
      <c r="AJ656" s="262"/>
      <c r="AK656" s="262"/>
      <c r="AL656" s="262"/>
      <c r="AM656" s="262"/>
      <c r="AN656" s="262"/>
      <c r="AO656" s="262"/>
      <c r="AP656" s="262"/>
      <c r="AQ656" s="262"/>
      <c r="AR656" s="262"/>
      <c r="AS656" s="262"/>
      <c r="AT656" s="262"/>
      <c r="AU656" s="262"/>
      <c r="AV656" s="262"/>
      <c r="AW656" s="262"/>
      <c r="AX656" s="262"/>
      <c r="AY656" s="262"/>
      <c r="AZ656" s="262"/>
      <c r="BA656" s="262"/>
      <c r="BB656" s="262"/>
      <c r="BC656" s="262"/>
      <c r="BD656" s="262"/>
      <c r="BE656" s="262"/>
      <c r="BF656" s="262"/>
      <c r="BG656" s="262"/>
      <c r="BH656" s="262"/>
      <c r="BI656" s="262"/>
      <c r="BJ656" s="262"/>
      <c r="BK656" s="262"/>
      <c r="BL656" s="262"/>
      <c r="BM656" s="262"/>
      <c r="BN656" s="262"/>
      <c r="BO656" s="262"/>
      <c r="BP656" s="262"/>
      <c r="BQ656" s="262"/>
      <c r="BR656" s="262"/>
      <c r="BS656" s="262"/>
      <c r="BT656" s="262"/>
      <c r="BU656" s="262"/>
      <c r="BV656" s="262"/>
      <c r="BW656" s="262"/>
      <c r="BX656" s="262"/>
      <c r="BY656" s="262"/>
      <c r="BZ656" s="262"/>
      <c r="CA656" s="262"/>
      <c r="CB656" s="262"/>
      <c r="CC656" s="262"/>
      <c r="CD656" s="262"/>
      <c r="CE656" s="262"/>
      <c r="CF656" s="262"/>
      <c r="CG656" s="262"/>
      <c r="CH656" s="262"/>
      <c r="CI656" s="262"/>
      <c r="CJ656" s="262"/>
      <c r="CK656" s="262"/>
      <c r="CL656" s="262"/>
      <c r="CM656" s="262"/>
      <c r="CN656" s="262"/>
      <c r="CO656" s="262"/>
      <c r="CP656" s="262"/>
      <c r="CQ656" s="262"/>
      <c r="CR656" s="262"/>
      <c r="CS656" s="262"/>
      <c r="CT656" s="262"/>
      <c r="CU656" s="262"/>
      <c r="CV656" s="262"/>
    </row>
    <row r="657" spans="33:100">
      <c r="AG657" s="262"/>
      <c r="AH657" s="262"/>
      <c r="AI657" s="262"/>
      <c r="AJ657" s="262"/>
      <c r="AK657" s="262"/>
      <c r="AL657" s="262"/>
      <c r="AM657" s="262"/>
      <c r="AN657" s="262"/>
      <c r="AO657" s="262"/>
      <c r="AP657" s="262"/>
      <c r="AQ657" s="262"/>
      <c r="AR657" s="262"/>
      <c r="AS657" s="262"/>
      <c r="AT657" s="262"/>
      <c r="AU657" s="262"/>
      <c r="AV657" s="262"/>
      <c r="AW657" s="262"/>
      <c r="AX657" s="262"/>
      <c r="AY657" s="262"/>
      <c r="AZ657" s="262"/>
      <c r="BA657" s="262"/>
      <c r="BB657" s="262"/>
      <c r="BC657" s="262"/>
      <c r="BD657" s="262"/>
      <c r="BE657" s="262"/>
      <c r="BF657" s="262"/>
      <c r="BG657" s="262"/>
      <c r="BH657" s="262"/>
      <c r="BI657" s="262"/>
      <c r="BJ657" s="262"/>
      <c r="BK657" s="262"/>
      <c r="BL657" s="262"/>
      <c r="BM657" s="262"/>
      <c r="BN657" s="262"/>
      <c r="BO657" s="262"/>
      <c r="BP657" s="262"/>
      <c r="BQ657" s="262"/>
      <c r="BR657" s="262"/>
      <c r="BS657" s="262"/>
      <c r="BT657" s="262"/>
      <c r="BU657" s="262"/>
      <c r="BV657" s="262"/>
      <c r="BW657" s="262"/>
      <c r="BX657" s="262"/>
      <c r="BY657" s="262"/>
      <c r="BZ657" s="262"/>
      <c r="CA657" s="262"/>
      <c r="CB657" s="262"/>
      <c r="CC657" s="262"/>
      <c r="CD657" s="262"/>
      <c r="CE657" s="262"/>
      <c r="CF657" s="262"/>
      <c r="CG657" s="262"/>
      <c r="CH657" s="262"/>
      <c r="CI657" s="262"/>
      <c r="CJ657" s="262"/>
      <c r="CK657" s="262"/>
      <c r="CL657" s="262"/>
      <c r="CM657" s="262"/>
      <c r="CN657" s="262"/>
      <c r="CO657" s="262"/>
      <c r="CP657" s="262"/>
      <c r="CQ657" s="262"/>
      <c r="CR657" s="262"/>
      <c r="CS657" s="262"/>
      <c r="CT657" s="262"/>
      <c r="CU657" s="262"/>
      <c r="CV657" s="262"/>
    </row>
    <row r="658" spans="33:100">
      <c r="AG658" s="262"/>
      <c r="AH658" s="262"/>
      <c r="AI658" s="262"/>
      <c r="AJ658" s="262"/>
      <c r="AK658" s="262"/>
      <c r="AL658" s="262"/>
      <c r="AM658" s="262"/>
      <c r="AN658" s="262"/>
      <c r="AO658" s="262"/>
      <c r="AP658" s="262"/>
      <c r="AQ658" s="262"/>
      <c r="AR658" s="262"/>
      <c r="AS658" s="262"/>
      <c r="AT658" s="262"/>
      <c r="AU658" s="262"/>
      <c r="AV658" s="262"/>
      <c r="AW658" s="262"/>
      <c r="AX658" s="262"/>
      <c r="AY658" s="262"/>
      <c r="AZ658" s="262"/>
      <c r="BA658" s="262"/>
      <c r="BB658" s="262"/>
      <c r="BC658" s="262"/>
      <c r="BD658" s="262"/>
      <c r="BE658" s="262"/>
      <c r="BF658" s="262"/>
      <c r="BG658" s="262"/>
      <c r="BH658" s="262"/>
      <c r="BI658" s="262"/>
      <c r="BJ658" s="262"/>
      <c r="BK658" s="262"/>
      <c r="BL658" s="262"/>
      <c r="BM658" s="262"/>
      <c r="BN658" s="262"/>
      <c r="BO658" s="262"/>
      <c r="BP658" s="262"/>
      <c r="BQ658" s="262"/>
      <c r="BR658" s="262"/>
      <c r="BS658" s="262"/>
      <c r="BT658" s="262"/>
      <c r="BU658" s="262"/>
      <c r="BV658" s="262"/>
      <c r="BW658" s="262"/>
      <c r="BX658" s="262"/>
      <c r="BY658" s="262"/>
      <c r="BZ658" s="262"/>
      <c r="CA658" s="262"/>
      <c r="CB658" s="262"/>
      <c r="CC658" s="262"/>
      <c r="CD658" s="262"/>
      <c r="CE658" s="262"/>
      <c r="CF658" s="262"/>
      <c r="CG658" s="262"/>
      <c r="CH658" s="262"/>
      <c r="CI658" s="262"/>
      <c r="CJ658" s="262"/>
      <c r="CK658" s="262"/>
      <c r="CL658" s="262"/>
      <c r="CM658" s="262"/>
      <c r="CN658" s="262"/>
      <c r="CO658" s="262"/>
      <c r="CP658" s="262"/>
      <c r="CQ658" s="262"/>
      <c r="CR658" s="262"/>
      <c r="CS658" s="262"/>
      <c r="CT658" s="262"/>
      <c r="CU658" s="262"/>
      <c r="CV658" s="262"/>
    </row>
    <row r="659" spans="33:100">
      <c r="AG659" s="262"/>
      <c r="AH659" s="262"/>
      <c r="AI659" s="262"/>
      <c r="AJ659" s="262"/>
      <c r="AK659" s="262"/>
      <c r="AL659" s="262"/>
      <c r="AM659" s="262"/>
      <c r="AN659" s="262"/>
      <c r="AO659" s="262"/>
      <c r="AP659" s="262"/>
      <c r="AQ659" s="262"/>
      <c r="AR659" s="262"/>
      <c r="AS659" s="262"/>
      <c r="AT659" s="262"/>
      <c r="AU659" s="262"/>
      <c r="AV659" s="262"/>
      <c r="AW659" s="262"/>
      <c r="AX659" s="262"/>
      <c r="AY659" s="262"/>
      <c r="AZ659" s="262"/>
      <c r="BA659" s="262"/>
      <c r="BB659" s="262"/>
      <c r="BC659" s="262"/>
      <c r="BD659" s="262"/>
      <c r="BE659" s="262"/>
      <c r="BF659" s="262"/>
      <c r="BG659" s="262"/>
      <c r="BH659" s="262"/>
      <c r="BI659" s="262"/>
      <c r="BJ659" s="262"/>
      <c r="BK659" s="262"/>
      <c r="BL659" s="262"/>
      <c r="BM659" s="262"/>
      <c r="BN659" s="262"/>
      <c r="BO659" s="262"/>
      <c r="BP659" s="262"/>
      <c r="BQ659" s="262"/>
      <c r="BR659" s="262"/>
      <c r="BS659" s="262"/>
      <c r="BT659" s="262"/>
      <c r="BU659" s="262"/>
      <c r="BV659" s="262"/>
      <c r="BW659" s="262"/>
      <c r="BX659" s="262"/>
      <c r="BY659" s="262"/>
      <c r="BZ659" s="262"/>
      <c r="CA659" s="262"/>
      <c r="CB659" s="262"/>
      <c r="CC659" s="262"/>
      <c r="CD659" s="262"/>
      <c r="CE659" s="262"/>
      <c r="CF659" s="262"/>
      <c r="CG659" s="262"/>
      <c r="CH659" s="262"/>
      <c r="CI659" s="262"/>
      <c r="CJ659" s="262"/>
      <c r="CK659" s="262"/>
      <c r="CL659" s="262"/>
      <c r="CM659" s="262"/>
      <c r="CN659" s="262"/>
      <c r="CO659" s="262"/>
      <c r="CP659" s="262"/>
      <c r="CQ659" s="262"/>
      <c r="CR659" s="262"/>
      <c r="CS659" s="262"/>
      <c r="CT659" s="262"/>
      <c r="CU659" s="262"/>
      <c r="CV659" s="262"/>
    </row>
    <row r="660" spans="33:100">
      <c r="AG660" s="262"/>
      <c r="AH660" s="262"/>
      <c r="AI660" s="262"/>
      <c r="AJ660" s="262"/>
      <c r="AK660" s="262"/>
      <c r="AL660" s="262"/>
      <c r="AM660" s="262"/>
      <c r="AN660" s="262"/>
      <c r="AO660" s="262"/>
      <c r="AP660" s="262"/>
      <c r="AQ660" s="262"/>
      <c r="AR660" s="262"/>
      <c r="AS660" s="262"/>
      <c r="AT660" s="262"/>
      <c r="AU660" s="262"/>
      <c r="AV660" s="262"/>
      <c r="AW660" s="262"/>
      <c r="AX660" s="262"/>
      <c r="AY660" s="262"/>
      <c r="AZ660" s="262"/>
      <c r="BA660" s="262"/>
      <c r="BB660" s="262"/>
      <c r="BC660" s="262"/>
      <c r="BD660" s="262"/>
      <c r="BE660" s="262"/>
      <c r="BF660" s="262"/>
      <c r="BG660" s="262"/>
      <c r="BH660" s="262"/>
      <c r="BI660" s="262"/>
      <c r="BJ660" s="262"/>
      <c r="BK660" s="262"/>
      <c r="BL660" s="262"/>
      <c r="BM660" s="262"/>
      <c r="BN660" s="262"/>
      <c r="BO660" s="262"/>
      <c r="BP660" s="262"/>
      <c r="BQ660" s="262"/>
      <c r="BR660" s="262"/>
      <c r="BS660" s="262"/>
      <c r="BT660" s="262"/>
      <c r="BU660" s="262"/>
      <c r="BV660" s="262"/>
      <c r="BW660" s="262"/>
      <c r="BX660" s="262"/>
      <c r="BY660" s="262"/>
      <c r="BZ660" s="262"/>
      <c r="CA660" s="262"/>
      <c r="CB660" s="262"/>
      <c r="CC660" s="262"/>
      <c r="CD660" s="262"/>
      <c r="CE660" s="262"/>
      <c r="CF660" s="262"/>
      <c r="CG660" s="262"/>
      <c r="CH660" s="262"/>
      <c r="CI660" s="262"/>
      <c r="CJ660" s="262"/>
      <c r="CK660" s="262"/>
      <c r="CL660" s="262"/>
      <c r="CM660" s="262"/>
      <c r="CN660" s="262"/>
      <c r="CO660" s="262"/>
      <c r="CP660" s="262"/>
      <c r="CQ660" s="262"/>
      <c r="CR660" s="262"/>
      <c r="CS660" s="262"/>
      <c r="CT660" s="262"/>
      <c r="CU660" s="262"/>
      <c r="CV660" s="262"/>
    </row>
    <row r="661" spans="33:100">
      <c r="AG661" s="262"/>
      <c r="AH661" s="262"/>
      <c r="AI661" s="262"/>
      <c r="AJ661" s="262"/>
      <c r="AK661" s="262"/>
      <c r="AL661" s="262"/>
      <c r="AM661" s="262"/>
      <c r="AN661" s="262"/>
      <c r="AO661" s="262"/>
      <c r="AP661" s="262"/>
      <c r="AQ661" s="262"/>
      <c r="AR661" s="262"/>
      <c r="AS661" s="262"/>
      <c r="AT661" s="262"/>
      <c r="AU661" s="262"/>
      <c r="AV661" s="262"/>
      <c r="AW661" s="262"/>
      <c r="AX661" s="262"/>
      <c r="AY661" s="262"/>
      <c r="AZ661" s="262"/>
      <c r="BA661" s="262"/>
      <c r="BB661" s="262"/>
      <c r="BC661" s="262"/>
      <c r="BD661" s="262"/>
      <c r="BE661" s="262"/>
      <c r="BF661" s="262"/>
      <c r="BG661" s="262"/>
      <c r="BH661" s="262"/>
      <c r="BI661" s="262"/>
      <c r="BJ661" s="262"/>
      <c r="BK661" s="262"/>
      <c r="BL661" s="262"/>
      <c r="BM661" s="262"/>
      <c r="BN661" s="262"/>
      <c r="BO661" s="262"/>
      <c r="BP661" s="262"/>
      <c r="BQ661" s="262"/>
      <c r="BR661" s="262"/>
      <c r="BS661" s="262"/>
      <c r="BT661" s="262"/>
      <c r="BU661" s="262"/>
      <c r="BV661" s="262"/>
      <c r="BW661" s="262"/>
      <c r="BX661" s="262"/>
      <c r="BY661" s="262"/>
      <c r="BZ661" s="262"/>
      <c r="CA661" s="262"/>
      <c r="CB661" s="262"/>
      <c r="CC661" s="262"/>
      <c r="CD661" s="262"/>
      <c r="CE661" s="262"/>
      <c r="CF661" s="262"/>
      <c r="CG661" s="262"/>
      <c r="CH661" s="262"/>
      <c r="CI661" s="262"/>
      <c r="CJ661" s="262"/>
      <c r="CK661" s="262"/>
      <c r="CL661" s="262"/>
      <c r="CM661" s="262"/>
      <c r="CN661" s="262"/>
      <c r="CO661" s="262"/>
      <c r="CP661" s="262"/>
      <c r="CQ661" s="262"/>
      <c r="CR661" s="262"/>
      <c r="CS661" s="262"/>
      <c r="CT661" s="262"/>
      <c r="CU661" s="262"/>
      <c r="CV661" s="262"/>
    </row>
    <row r="662" spans="33:100">
      <c r="AG662" s="262"/>
      <c r="AH662" s="262"/>
      <c r="AI662" s="262"/>
      <c r="AJ662" s="262"/>
      <c r="AK662" s="262"/>
      <c r="AL662" s="262"/>
      <c r="AM662" s="262"/>
      <c r="AN662" s="262"/>
      <c r="AO662" s="262"/>
      <c r="AP662" s="262"/>
      <c r="AQ662" s="262"/>
      <c r="AR662" s="262"/>
      <c r="AS662" s="262"/>
      <c r="AT662" s="262"/>
      <c r="AU662" s="262"/>
      <c r="AV662" s="262"/>
      <c r="AW662" s="262"/>
      <c r="AX662" s="262"/>
      <c r="AY662" s="262"/>
      <c r="AZ662" s="262"/>
      <c r="BA662" s="262"/>
      <c r="BB662" s="262"/>
      <c r="BC662" s="262"/>
      <c r="BD662" s="262"/>
      <c r="BE662" s="262"/>
      <c r="BF662" s="262"/>
      <c r="BG662" s="262"/>
      <c r="BH662" s="262"/>
      <c r="BI662" s="262"/>
      <c r="BJ662" s="262"/>
      <c r="BK662" s="262"/>
      <c r="BL662" s="262"/>
      <c r="BM662" s="262"/>
      <c r="BN662" s="262"/>
      <c r="BO662" s="262"/>
      <c r="BP662" s="262"/>
      <c r="BQ662" s="262"/>
      <c r="BR662" s="262"/>
      <c r="BS662" s="262"/>
      <c r="BT662" s="262"/>
      <c r="BU662" s="262"/>
      <c r="BV662" s="262"/>
      <c r="BW662" s="262"/>
      <c r="BX662" s="262"/>
      <c r="BY662" s="262"/>
      <c r="BZ662" s="262"/>
      <c r="CA662" s="262"/>
      <c r="CB662" s="262"/>
      <c r="CC662" s="262"/>
      <c r="CD662" s="262"/>
      <c r="CE662" s="262"/>
      <c r="CF662" s="262"/>
      <c r="CG662" s="262"/>
      <c r="CH662" s="262"/>
      <c r="CI662" s="262"/>
      <c r="CJ662" s="262"/>
      <c r="CK662" s="262"/>
      <c r="CL662" s="262"/>
      <c r="CM662" s="262"/>
      <c r="CN662" s="262"/>
      <c r="CO662" s="262"/>
      <c r="CP662" s="262"/>
      <c r="CQ662" s="262"/>
      <c r="CR662" s="262"/>
      <c r="CS662" s="262"/>
      <c r="CT662" s="262"/>
      <c r="CU662" s="262"/>
      <c r="CV662" s="262"/>
    </row>
    <row r="663" spans="33:100">
      <c r="AG663" s="262"/>
      <c r="AH663" s="262"/>
      <c r="AI663" s="262"/>
      <c r="AJ663" s="262"/>
      <c r="AK663" s="262"/>
      <c r="AL663" s="262"/>
      <c r="AM663" s="262"/>
      <c r="AN663" s="262"/>
      <c r="AO663" s="262"/>
      <c r="AP663" s="262"/>
      <c r="AQ663" s="262"/>
      <c r="AR663" s="262"/>
      <c r="AS663" s="262"/>
      <c r="AT663" s="262"/>
      <c r="AU663" s="262"/>
      <c r="AV663" s="262"/>
      <c r="AW663" s="262"/>
      <c r="AX663" s="262"/>
      <c r="AY663" s="262"/>
      <c r="AZ663" s="262"/>
      <c r="BA663" s="262"/>
      <c r="BB663" s="262"/>
      <c r="BC663" s="262"/>
      <c r="BD663" s="262"/>
      <c r="BE663" s="262"/>
      <c r="BF663" s="262"/>
      <c r="BG663" s="262"/>
      <c r="BH663" s="262"/>
      <c r="BI663" s="262"/>
      <c r="BJ663" s="262"/>
      <c r="BK663" s="262"/>
      <c r="BL663" s="262"/>
      <c r="BM663" s="262"/>
      <c r="BN663" s="262"/>
      <c r="BO663" s="262"/>
      <c r="BP663" s="262"/>
      <c r="BQ663" s="262"/>
      <c r="BR663" s="262"/>
      <c r="BS663" s="262"/>
      <c r="BT663" s="262"/>
      <c r="BU663" s="262"/>
      <c r="BV663" s="262"/>
      <c r="BW663" s="262"/>
      <c r="BX663" s="262"/>
      <c r="BY663" s="262"/>
      <c r="BZ663" s="262"/>
      <c r="CA663" s="262"/>
      <c r="CB663" s="262"/>
      <c r="CC663" s="262"/>
      <c r="CD663" s="262"/>
      <c r="CE663" s="262"/>
      <c r="CF663" s="262"/>
      <c r="CG663" s="262"/>
      <c r="CH663" s="262"/>
      <c r="CI663" s="262"/>
      <c r="CJ663" s="262"/>
      <c r="CK663" s="262"/>
      <c r="CL663" s="262"/>
      <c r="CM663" s="262"/>
      <c r="CN663" s="262"/>
      <c r="CO663" s="262"/>
      <c r="CP663" s="262"/>
      <c r="CQ663" s="262"/>
      <c r="CR663" s="262"/>
      <c r="CS663" s="262"/>
      <c r="CT663" s="262"/>
      <c r="CU663" s="262"/>
      <c r="CV663" s="262"/>
    </row>
    <row r="664" spans="33:100">
      <c r="AG664" s="262"/>
      <c r="AH664" s="262"/>
      <c r="AI664" s="262"/>
      <c r="AJ664" s="262"/>
      <c r="AK664" s="262"/>
      <c r="AL664" s="262"/>
      <c r="AM664" s="262"/>
      <c r="AN664" s="262"/>
      <c r="AO664" s="262"/>
      <c r="AP664" s="262"/>
      <c r="AQ664" s="262"/>
      <c r="AR664" s="262"/>
      <c r="AS664" s="262"/>
      <c r="AT664" s="262"/>
      <c r="AU664" s="262"/>
      <c r="AV664" s="262"/>
      <c r="AW664" s="262"/>
      <c r="AX664" s="262"/>
      <c r="AY664" s="262"/>
      <c r="AZ664" s="262"/>
      <c r="BA664" s="262"/>
      <c r="BB664" s="262"/>
      <c r="BC664" s="262"/>
      <c r="BD664" s="262"/>
      <c r="BE664" s="262"/>
      <c r="BF664" s="262"/>
      <c r="BG664" s="262"/>
      <c r="BH664" s="262"/>
      <c r="BI664" s="262"/>
      <c r="BJ664" s="262"/>
      <c r="BK664" s="262"/>
      <c r="BL664" s="262"/>
      <c r="BM664" s="262"/>
      <c r="BN664" s="262"/>
      <c r="BO664" s="262"/>
      <c r="BP664" s="262"/>
      <c r="BQ664" s="262"/>
      <c r="BR664" s="262"/>
      <c r="BS664" s="262"/>
      <c r="BT664" s="262"/>
      <c r="BU664" s="262"/>
      <c r="BV664" s="262"/>
      <c r="BW664" s="262"/>
      <c r="BX664" s="262"/>
      <c r="BY664" s="262"/>
      <c r="BZ664" s="262"/>
      <c r="CA664" s="262"/>
      <c r="CB664" s="262"/>
      <c r="CC664" s="262"/>
      <c r="CD664" s="262"/>
      <c r="CE664" s="262"/>
      <c r="CF664" s="262"/>
      <c r="CG664" s="262"/>
      <c r="CH664" s="262"/>
      <c r="CI664" s="262"/>
      <c r="CJ664" s="262"/>
      <c r="CK664" s="262"/>
      <c r="CL664" s="262"/>
      <c r="CM664" s="262"/>
      <c r="CN664" s="262"/>
      <c r="CO664" s="262"/>
      <c r="CP664" s="262"/>
      <c r="CQ664" s="262"/>
      <c r="CR664" s="262"/>
      <c r="CS664" s="262"/>
      <c r="CT664" s="262"/>
      <c r="CU664" s="262"/>
      <c r="CV664" s="262"/>
    </row>
    <row r="665" spans="33:100">
      <c r="AG665" s="262"/>
      <c r="AH665" s="262"/>
      <c r="AI665" s="262"/>
      <c r="AJ665" s="262"/>
      <c r="AK665" s="262"/>
      <c r="AL665" s="262"/>
      <c r="AM665" s="262"/>
      <c r="AN665" s="262"/>
      <c r="AO665" s="262"/>
      <c r="AP665" s="262"/>
      <c r="AQ665" s="262"/>
      <c r="AR665" s="262"/>
      <c r="AS665" s="262"/>
      <c r="AT665" s="262"/>
      <c r="AU665" s="262"/>
      <c r="AV665" s="262"/>
      <c r="AW665" s="262"/>
      <c r="AX665" s="262"/>
      <c r="AY665" s="262"/>
      <c r="AZ665" s="262"/>
      <c r="BA665" s="262"/>
      <c r="BB665" s="262"/>
      <c r="BC665" s="262"/>
      <c r="BD665" s="262"/>
      <c r="BE665" s="262"/>
      <c r="BF665" s="262"/>
      <c r="BG665" s="262"/>
      <c r="BH665" s="262"/>
      <c r="BI665" s="262"/>
      <c r="BJ665" s="262"/>
      <c r="BK665" s="262"/>
      <c r="BL665" s="262"/>
      <c r="BM665" s="262"/>
      <c r="BN665" s="262"/>
      <c r="BO665" s="262"/>
      <c r="BP665" s="262"/>
      <c r="BQ665" s="262"/>
      <c r="BR665" s="262"/>
      <c r="BS665" s="262"/>
      <c r="BT665" s="262"/>
      <c r="BU665" s="262"/>
      <c r="BV665" s="262"/>
      <c r="BW665" s="262"/>
      <c r="BX665" s="262"/>
      <c r="BY665" s="262"/>
      <c r="BZ665" s="262"/>
      <c r="CA665" s="262"/>
      <c r="CB665" s="262"/>
      <c r="CC665" s="262"/>
      <c r="CD665" s="262"/>
      <c r="CE665" s="262"/>
      <c r="CF665" s="262"/>
      <c r="CG665" s="262"/>
      <c r="CH665" s="262"/>
      <c r="CI665" s="262"/>
      <c r="CJ665" s="262"/>
      <c r="CK665" s="262"/>
      <c r="CL665" s="262"/>
      <c r="CM665" s="262"/>
      <c r="CN665" s="262"/>
      <c r="CO665" s="262"/>
      <c r="CP665" s="262"/>
      <c r="CQ665" s="262"/>
      <c r="CR665" s="262"/>
      <c r="CS665" s="262"/>
      <c r="CT665" s="262"/>
      <c r="CU665" s="262"/>
      <c r="CV665" s="262"/>
    </row>
    <row r="666" spans="33:100">
      <c r="AG666" s="262"/>
      <c r="AH666" s="262"/>
      <c r="AI666" s="262"/>
      <c r="AJ666" s="262"/>
      <c r="AK666" s="262"/>
      <c r="AL666" s="262"/>
      <c r="AM666" s="262"/>
      <c r="AN666" s="262"/>
      <c r="AO666" s="262"/>
      <c r="AP666" s="262"/>
      <c r="AQ666" s="262"/>
      <c r="AR666" s="262"/>
      <c r="AS666" s="262"/>
      <c r="AT666" s="262"/>
      <c r="AU666" s="262"/>
      <c r="AV666" s="262"/>
      <c r="AW666" s="262"/>
      <c r="AX666" s="262"/>
      <c r="AY666" s="262"/>
      <c r="AZ666" s="262"/>
      <c r="BA666" s="262"/>
      <c r="BB666" s="262"/>
      <c r="BC666" s="262"/>
      <c r="BD666" s="262"/>
      <c r="BE666" s="262"/>
      <c r="BF666" s="262"/>
      <c r="BG666" s="262"/>
      <c r="BH666" s="262"/>
      <c r="BI666" s="262"/>
      <c r="BJ666" s="262"/>
      <c r="BK666" s="262"/>
      <c r="BL666" s="262"/>
      <c r="BM666" s="262"/>
      <c r="BN666" s="262"/>
      <c r="BO666" s="262"/>
      <c r="BP666" s="262"/>
      <c r="BQ666" s="262"/>
      <c r="BR666" s="262"/>
      <c r="BS666" s="262"/>
      <c r="BT666" s="262"/>
      <c r="BU666" s="262"/>
      <c r="BV666" s="262"/>
      <c r="BW666" s="262"/>
      <c r="BX666" s="262"/>
      <c r="BY666" s="262"/>
      <c r="BZ666" s="262"/>
      <c r="CA666" s="262"/>
      <c r="CB666" s="262"/>
      <c r="CC666" s="262"/>
      <c r="CD666" s="262"/>
      <c r="CE666" s="262"/>
      <c r="CF666" s="262"/>
      <c r="CG666" s="262"/>
      <c r="CH666" s="262"/>
      <c r="CI666" s="262"/>
      <c r="CJ666" s="262"/>
      <c r="CK666" s="262"/>
      <c r="CL666" s="262"/>
      <c r="CM666" s="262"/>
      <c r="CN666" s="262"/>
      <c r="CO666" s="262"/>
      <c r="CP666" s="262"/>
      <c r="CQ666" s="262"/>
      <c r="CR666" s="262"/>
      <c r="CS666" s="262"/>
      <c r="CT666" s="262"/>
      <c r="CU666" s="262"/>
      <c r="CV666" s="262"/>
    </row>
    <row r="667" spans="33:100">
      <c r="AG667" s="262"/>
      <c r="AH667" s="262"/>
      <c r="AI667" s="262"/>
      <c r="AJ667" s="262"/>
      <c r="AK667" s="262"/>
      <c r="AL667" s="262"/>
      <c r="AM667" s="262"/>
      <c r="AN667" s="262"/>
      <c r="AO667" s="262"/>
      <c r="AP667" s="262"/>
      <c r="AQ667" s="262"/>
      <c r="AR667" s="262"/>
      <c r="AS667" s="262"/>
      <c r="AT667" s="262"/>
      <c r="AU667" s="262"/>
      <c r="AV667" s="262"/>
      <c r="AW667" s="262"/>
      <c r="AX667" s="262"/>
      <c r="AY667" s="262"/>
      <c r="AZ667" s="262"/>
      <c r="BA667" s="262"/>
      <c r="BB667" s="262"/>
      <c r="BC667" s="262"/>
      <c r="BD667" s="262"/>
      <c r="BE667" s="262"/>
      <c r="BF667" s="262"/>
      <c r="BG667" s="262"/>
      <c r="BH667" s="262"/>
      <c r="BI667" s="262"/>
      <c r="BJ667" s="262"/>
      <c r="BK667" s="262"/>
      <c r="BL667" s="262"/>
      <c r="BM667" s="262"/>
      <c r="BN667" s="262"/>
      <c r="BO667" s="262"/>
      <c r="BP667" s="262"/>
      <c r="BQ667" s="262"/>
      <c r="BR667" s="262"/>
      <c r="BS667" s="262"/>
      <c r="BT667" s="262"/>
      <c r="BU667" s="262"/>
      <c r="BV667" s="262"/>
      <c r="BW667" s="262"/>
      <c r="BX667" s="262"/>
      <c r="BY667" s="262"/>
      <c r="BZ667" s="262"/>
      <c r="CA667" s="262"/>
      <c r="CB667" s="262"/>
      <c r="CC667" s="262"/>
      <c r="CD667" s="262"/>
      <c r="CE667" s="262"/>
      <c r="CF667" s="262"/>
      <c r="CG667" s="262"/>
      <c r="CH667" s="262"/>
      <c r="CI667" s="262"/>
      <c r="CJ667" s="262"/>
      <c r="CK667" s="262"/>
      <c r="CL667" s="262"/>
      <c r="CM667" s="262"/>
      <c r="CN667" s="262"/>
      <c r="CO667" s="262"/>
      <c r="CP667" s="262"/>
      <c r="CQ667" s="262"/>
      <c r="CR667" s="262"/>
      <c r="CS667" s="262"/>
      <c r="CT667" s="262"/>
      <c r="CU667" s="262"/>
      <c r="CV667" s="262"/>
    </row>
    <row r="668" spans="33:100">
      <c r="AG668" s="262"/>
      <c r="AH668" s="262"/>
      <c r="AI668" s="262"/>
      <c r="AJ668" s="262"/>
      <c r="AK668" s="262"/>
      <c r="AL668" s="262"/>
      <c r="AM668" s="262"/>
      <c r="AN668" s="262"/>
      <c r="AO668" s="262"/>
      <c r="AP668" s="262"/>
      <c r="AQ668" s="262"/>
      <c r="AR668" s="262"/>
      <c r="AS668" s="262"/>
      <c r="AT668" s="262"/>
      <c r="AU668" s="262"/>
      <c r="AV668" s="262"/>
      <c r="AW668" s="262"/>
      <c r="AX668" s="262"/>
      <c r="AY668" s="262"/>
      <c r="AZ668" s="262"/>
      <c r="BA668" s="262"/>
      <c r="BB668" s="262"/>
      <c r="BC668" s="262"/>
      <c r="BD668" s="262"/>
      <c r="BE668" s="262"/>
      <c r="BF668" s="262"/>
      <c r="BG668" s="262"/>
      <c r="BH668" s="262"/>
      <c r="BI668" s="262"/>
      <c r="BJ668" s="262"/>
      <c r="BK668" s="262"/>
      <c r="BL668" s="262"/>
      <c r="BM668" s="262"/>
      <c r="BN668" s="262"/>
      <c r="BO668" s="262"/>
      <c r="BP668" s="262"/>
      <c r="BQ668" s="262"/>
      <c r="BR668" s="262"/>
      <c r="BS668" s="262"/>
      <c r="BT668" s="262"/>
      <c r="BU668" s="262"/>
      <c r="BV668" s="262"/>
      <c r="BW668" s="262"/>
      <c r="BX668" s="262"/>
      <c r="BY668" s="262"/>
      <c r="BZ668" s="262"/>
      <c r="CA668" s="262"/>
      <c r="CB668" s="262"/>
      <c r="CC668" s="262"/>
      <c r="CD668" s="262"/>
      <c r="CE668" s="262"/>
      <c r="CF668" s="262"/>
      <c r="CG668" s="262"/>
      <c r="CH668" s="262"/>
      <c r="CI668" s="262"/>
      <c r="CJ668" s="262"/>
      <c r="CK668" s="262"/>
      <c r="CL668" s="262"/>
      <c r="CM668" s="262"/>
      <c r="CN668" s="262"/>
      <c r="CO668" s="262"/>
      <c r="CP668" s="262"/>
      <c r="CQ668" s="262"/>
      <c r="CR668" s="262"/>
      <c r="CS668" s="262"/>
      <c r="CT668" s="262"/>
      <c r="CU668" s="262"/>
      <c r="CV668" s="262"/>
    </row>
    <row r="669" spans="33:100">
      <c r="AG669" s="262"/>
      <c r="AH669" s="262"/>
      <c r="AI669" s="262"/>
      <c r="AJ669" s="262"/>
      <c r="AK669" s="262"/>
      <c r="AL669" s="262"/>
      <c r="AM669" s="262"/>
      <c r="AN669" s="262"/>
      <c r="AO669" s="262"/>
      <c r="AP669" s="262"/>
      <c r="AQ669" s="262"/>
      <c r="AR669" s="262"/>
      <c r="AS669" s="262"/>
      <c r="AT669" s="262"/>
      <c r="AU669" s="262"/>
      <c r="AV669" s="262"/>
      <c r="AW669" s="262"/>
      <c r="AX669" s="262"/>
      <c r="AY669" s="262"/>
      <c r="AZ669" s="262"/>
      <c r="BA669" s="262"/>
      <c r="BB669" s="262"/>
      <c r="BC669" s="262"/>
      <c r="BD669" s="262"/>
      <c r="BE669" s="262"/>
      <c r="BF669" s="262"/>
      <c r="BG669" s="262"/>
      <c r="BH669" s="262"/>
      <c r="BI669" s="262"/>
      <c r="BJ669" s="262"/>
      <c r="BK669" s="262"/>
      <c r="BL669" s="262"/>
      <c r="BM669" s="262"/>
      <c r="BN669" s="262"/>
      <c r="BO669" s="262"/>
      <c r="BP669" s="262"/>
      <c r="BQ669" s="262"/>
      <c r="BR669" s="262"/>
      <c r="BS669" s="262"/>
      <c r="BT669" s="262"/>
      <c r="BU669" s="262"/>
      <c r="BV669" s="262"/>
      <c r="BW669" s="262"/>
      <c r="BX669" s="262"/>
      <c r="BY669" s="262"/>
      <c r="BZ669" s="262"/>
      <c r="CA669" s="262"/>
      <c r="CB669" s="262"/>
      <c r="CC669" s="262"/>
      <c r="CD669" s="262"/>
      <c r="CE669" s="262"/>
      <c r="CF669" s="262"/>
      <c r="CG669" s="262"/>
      <c r="CH669" s="262"/>
      <c r="CI669" s="262"/>
      <c r="CJ669" s="262"/>
      <c r="CK669" s="262"/>
      <c r="CL669" s="262"/>
      <c r="CM669" s="262"/>
      <c r="CN669" s="262"/>
      <c r="CO669" s="262"/>
      <c r="CP669" s="262"/>
      <c r="CQ669" s="262"/>
      <c r="CR669" s="262"/>
      <c r="CS669" s="262"/>
      <c r="CT669" s="262"/>
      <c r="CU669" s="262"/>
      <c r="CV669" s="262"/>
    </row>
    <row r="670" spans="33:100">
      <c r="AG670" s="262"/>
      <c r="AH670" s="262"/>
      <c r="AI670" s="262"/>
      <c r="AJ670" s="262"/>
      <c r="AK670" s="262"/>
      <c r="AL670" s="262"/>
      <c r="AM670" s="262"/>
      <c r="AN670" s="262"/>
      <c r="AO670" s="262"/>
      <c r="AP670" s="262"/>
      <c r="AQ670" s="262"/>
      <c r="AR670" s="262"/>
      <c r="AS670" s="262"/>
      <c r="AT670" s="262"/>
      <c r="AU670" s="262"/>
      <c r="AV670" s="262"/>
      <c r="AW670" s="262"/>
      <c r="AX670" s="262"/>
      <c r="AY670" s="262"/>
      <c r="AZ670" s="262"/>
      <c r="BA670" s="262"/>
      <c r="BB670" s="262"/>
      <c r="BC670" s="262"/>
      <c r="BD670" s="262"/>
      <c r="BE670" s="262"/>
      <c r="BF670" s="262"/>
      <c r="BG670" s="262"/>
      <c r="BH670" s="262"/>
      <c r="BI670" s="262"/>
      <c r="BJ670" s="262"/>
      <c r="BK670" s="262"/>
      <c r="BL670" s="262"/>
      <c r="BM670" s="262"/>
      <c r="BN670" s="262"/>
      <c r="BO670" s="262"/>
      <c r="BP670" s="262"/>
      <c r="BQ670" s="262"/>
      <c r="BR670" s="262"/>
      <c r="BS670" s="262"/>
      <c r="BT670" s="262"/>
      <c r="BU670" s="262"/>
      <c r="BV670" s="262"/>
      <c r="BW670" s="262"/>
      <c r="BX670" s="262"/>
      <c r="BY670" s="262"/>
      <c r="BZ670" s="262"/>
      <c r="CA670" s="262"/>
      <c r="CB670" s="262"/>
      <c r="CC670" s="262"/>
      <c r="CD670" s="262"/>
      <c r="CE670" s="262"/>
      <c r="CF670" s="262"/>
      <c r="CG670" s="262"/>
      <c r="CH670" s="262"/>
      <c r="CI670" s="262"/>
      <c r="CJ670" s="262"/>
      <c r="CK670" s="262"/>
      <c r="CL670" s="262"/>
      <c r="CM670" s="262"/>
      <c r="CN670" s="262"/>
      <c r="CO670" s="262"/>
      <c r="CP670" s="262"/>
      <c r="CQ670" s="262"/>
      <c r="CR670" s="262"/>
      <c r="CS670" s="262"/>
      <c r="CT670" s="262"/>
      <c r="CU670" s="262"/>
      <c r="CV670" s="262"/>
    </row>
    <row r="671" spans="33:100">
      <c r="AG671" s="262"/>
      <c r="AH671" s="262"/>
      <c r="AI671" s="262"/>
      <c r="AJ671" s="262"/>
      <c r="AK671" s="262"/>
      <c r="AL671" s="262"/>
      <c r="AM671" s="262"/>
      <c r="AN671" s="262"/>
      <c r="AO671" s="262"/>
      <c r="AP671" s="262"/>
      <c r="AQ671" s="262"/>
      <c r="AR671" s="262"/>
      <c r="AS671" s="262"/>
      <c r="AT671" s="262"/>
      <c r="AU671" s="262"/>
      <c r="AV671" s="262"/>
      <c r="AW671" s="262"/>
      <c r="AX671" s="262"/>
      <c r="AY671" s="262"/>
      <c r="AZ671" s="262"/>
      <c r="BA671" s="262"/>
      <c r="BB671" s="262"/>
      <c r="BC671" s="262"/>
      <c r="BD671" s="262"/>
      <c r="BE671" s="262"/>
      <c r="BF671" s="262"/>
      <c r="BG671" s="262"/>
      <c r="BH671" s="262"/>
      <c r="BI671" s="262"/>
      <c r="BJ671" s="262"/>
      <c r="BK671" s="262"/>
      <c r="BL671" s="262"/>
      <c r="BM671" s="262"/>
      <c r="BN671" s="262"/>
      <c r="BO671" s="262"/>
      <c r="BP671" s="262"/>
      <c r="BQ671" s="262"/>
      <c r="BR671" s="262"/>
      <c r="BS671" s="262"/>
      <c r="BT671" s="262"/>
      <c r="BU671" s="262"/>
      <c r="BV671" s="262"/>
      <c r="BW671" s="262"/>
      <c r="BX671" s="262"/>
      <c r="BY671" s="262"/>
      <c r="BZ671" s="262"/>
      <c r="CA671" s="262"/>
      <c r="CB671" s="262"/>
      <c r="CC671" s="262"/>
      <c r="CD671" s="262"/>
      <c r="CE671" s="262"/>
      <c r="CF671" s="262"/>
      <c r="CG671" s="262"/>
      <c r="CH671" s="262"/>
      <c r="CI671" s="262"/>
      <c r="CJ671" s="262"/>
      <c r="CK671" s="262"/>
      <c r="CL671" s="262"/>
      <c r="CM671" s="262"/>
      <c r="CN671" s="262"/>
      <c r="CO671" s="262"/>
      <c r="CP671" s="262"/>
      <c r="CQ671" s="262"/>
      <c r="CR671" s="262"/>
      <c r="CS671" s="262"/>
      <c r="CT671" s="262"/>
      <c r="CU671" s="262"/>
      <c r="CV671" s="262"/>
    </row>
    <row r="672" spans="33:100">
      <c r="AG672" s="262"/>
      <c r="AH672" s="262"/>
      <c r="AI672" s="262"/>
      <c r="AJ672" s="262"/>
      <c r="AK672" s="262"/>
      <c r="AL672" s="262"/>
      <c r="AM672" s="262"/>
      <c r="AN672" s="262"/>
      <c r="AO672" s="262"/>
      <c r="AP672" s="262"/>
      <c r="AQ672" s="262"/>
      <c r="AR672" s="262"/>
      <c r="AS672" s="262"/>
      <c r="AT672" s="262"/>
      <c r="AU672" s="262"/>
      <c r="AV672" s="262"/>
      <c r="AW672" s="262"/>
      <c r="AX672" s="262"/>
      <c r="AY672" s="262"/>
      <c r="AZ672" s="262"/>
      <c r="BA672" s="262"/>
      <c r="BB672" s="262"/>
      <c r="BC672" s="262"/>
      <c r="BD672" s="262"/>
      <c r="BE672" s="262"/>
      <c r="BF672" s="262"/>
      <c r="BG672" s="262"/>
      <c r="BH672" s="262"/>
      <c r="BI672" s="262"/>
      <c r="BJ672" s="262"/>
      <c r="BK672" s="262"/>
      <c r="BL672" s="262"/>
      <c r="BM672" s="262"/>
      <c r="BN672" s="262"/>
      <c r="BO672" s="262"/>
      <c r="BP672" s="262"/>
      <c r="BQ672" s="262"/>
      <c r="BR672" s="262"/>
      <c r="BS672" s="262"/>
      <c r="BT672" s="262"/>
      <c r="BU672" s="262"/>
      <c r="BV672" s="262"/>
      <c r="BW672" s="262"/>
      <c r="BX672" s="262"/>
      <c r="BY672" s="262"/>
      <c r="BZ672" s="262"/>
      <c r="CA672" s="262"/>
      <c r="CB672" s="262"/>
      <c r="CC672" s="262"/>
      <c r="CD672" s="262"/>
      <c r="CE672" s="262"/>
      <c r="CF672" s="262"/>
      <c r="CG672" s="262"/>
      <c r="CH672" s="262"/>
      <c r="CI672" s="262"/>
      <c r="CJ672" s="262"/>
      <c r="CK672" s="262"/>
      <c r="CL672" s="262"/>
      <c r="CM672" s="262"/>
      <c r="CN672" s="262"/>
      <c r="CO672" s="262"/>
      <c r="CP672" s="262"/>
      <c r="CQ672" s="262"/>
      <c r="CR672" s="262"/>
      <c r="CS672" s="262"/>
      <c r="CT672" s="262"/>
      <c r="CU672" s="262"/>
      <c r="CV672" s="262"/>
    </row>
    <row r="673" spans="33:100">
      <c r="AG673" s="262"/>
      <c r="AH673" s="262"/>
      <c r="AI673" s="262"/>
      <c r="AJ673" s="262"/>
      <c r="AK673" s="262"/>
      <c r="AL673" s="262"/>
      <c r="AM673" s="262"/>
      <c r="AN673" s="262"/>
      <c r="AO673" s="262"/>
      <c r="AP673" s="262"/>
      <c r="AQ673" s="262"/>
      <c r="AR673" s="262"/>
      <c r="AS673" s="262"/>
      <c r="AT673" s="262"/>
      <c r="AU673" s="262"/>
      <c r="AV673" s="262"/>
      <c r="AW673" s="262"/>
      <c r="AX673" s="262"/>
      <c r="AY673" s="262"/>
      <c r="AZ673" s="262"/>
      <c r="BA673" s="262"/>
      <c r="BB673" s="262"/>
      <c r="BC673" s="262"/>
      <c r="BD673" s="262"/>
      <c r="BE673" s="262"/>
      <c r="BF673" s="262"/>
      <c r="BG673" s="262"/>
      <c r="BH673" s="262"/>
      <c r="BI673" s="262"/>
      <c r="BJ673" s="262"/>
      <c r="BK673" s="262"/>
      <c r="BL673" s="262"/>
      <c r="BM673" s="262"/>
      <c r="BN673" s="262"/>
      <c r="BO673" s="262"/>
      <c r="BP673" s="262"/>
      <c r="BQ673" s="262"/>
      <c r="BR673" s="262"/>
      <c r="BS673" s="262"/>
      <c r="BT673" s="262"/>
      <c r="BU673" s="262"/>
      <c r="BV673" s="262"/>
      <c r="BW673" s="262"/>
      <c r="BX673" s="262"/>
      <c r="BY673" s="262"/>
      <c r="BZ673" s="262"/>
      <c r="CA673" s="262"/>
      <c r="CB673" s="262"/>
      <c r="CC673" s="262"/>
      <c r="CD673" s="262"/>
      <c r="CE673" s="262"/>
      <c r="CF673" s="262"/>
      <c r="CG673" s="262"/>
      <c r="CH673" s="262"/>
      <c r="CI673" s="262"/>
      <c r="CJ673" s="262"/>
      <c r="CK673" s="262"/>
      <c r="CL673" s="262"/>
      <c r="CM673" s="262"/>
      <c r="CN673" s="262"/>
      <c r="CO673" s="262"/>
      <c r="CP673" s="262"/>
      <c r="CQ673" s="262"/>
      <c r="CR673" s="262"/>
      <c r="CS673" s="262"/>
      <c r="CT673" s="262"/>
      <c r="CU673" s="262"/>
      <c r="CV673" s="262"/>
    </row>
    <row r="674" spans="33:100">
      <c r="AG674" s="262"/>
      <c r="AH674" s="262"/>
      <c r="AI674" s="262"/>
      <c r="AJ674" s="262"/>
      <c r="AK674" s="262"/>
      <c r="AL674" s="262"/>
      <c r="AM674" s="262"/>
      <c r="AN674" s="262"/>
      <c r="AO674" s="262"/>
      <c r="AP674" s="262"/>
      <c r="AQ674" s="262"/>
      <c r="AR674" s="262"/>
      <c r="AS674" s="262"/>
      <c r="AT674" s="262"/>
      <c r="AU674" s="262"/>
      <c r="AV674" s="262"/>
      <c r="AW674" s="262"/>
      <c r="AX674" s="262"/>
      <c r="AY674" s="262"/>
      <c r="AZ674" s="262"/>
      <c r="BA674" s="262"/>
      <c r="BB674" s="262"/>
      <c r="BC674" s="262"/>
      <c r="BD674" s="262"/>
      <c r="BE674" s="262"/>
      <c r="BF674" s="262"/>
      <c r="BG674" s="262"/>
      <c r="BH674" s="262"/>
      <c r="BI674" s="262"/>
      <c r="BJ674" s="262"/>
      <c r="BK674" s="262"/>
      <c r="BL674" s="262"/>
      <c r="BM674" s="262"/>
      <c r="BN674" s="262"/>
      <c r="BO674" s="262"/>
      <c r="BP674" s="262"/>
      <c r="BQ674" s="262"/>
      <c r="BR674" s="262"/>
      <c r="BS674" s="262"/>
      <c r="BT674" s="262"/>
      <c r="BU674" s="262"/>
      <c r="BV674" s="262"/>
      <c r="BW674" s="262"/>
      <c r="BX674" s="262"/>
      <c r="BY674" s="262"/>
      <c r="BZ674" s="262"/>
      <c r="CA674" s="262"/>
      <c r="CB674" s="262"/>
      <c r="CC674" s="262"/>
      <c r="CD674" s="262"/>
      <c r="CE674" s="262"/>
      <c r="CF674" s="262"/>
      <c r="CG674" s="262"/>
      <c r="CH674" s="262"/>
      <c r="CI674" s="262"/>
      <c r="CJ674" s="262"/>
      <c r="CK674" s="262"/>
      <c r="CL674" s="262"/>
      <c r="CM674" s="262"/>
      <c r="CN674" s="262"/>
      <c r="CO674" s="262"/>
      <c r="CP674" s="262"/>
      <c r="CQ674" s="262"/>
      <c r="CR674" s="262"/>
      <c r="CS674" s="262"/>
      <c r="CT674" s="262"/>
      <c r="CU674" s="262"/>
      <c r="CV674" s="262"/>
    </row>
    <row r="675" spans="33:100">
      <c r="AG675" s="262"/>
      <c r="AH675" s="262"/>
      <c r="AI675" s="262"/>
      <c r="AJ675" s="262"/>
      <c r="AK675" s="262"/>
      <c r="AL675" s="262"/>
      <c r="AM675" s="262"/>
      <c r="AN675" s="262"/>
      <c r="AO675" s="262"/>
      <c r="AP675" s="262"/>
      <c r="AQ675" s="262"/>
      <c r="AR675" s="262"/>
      <c r="AS675" s="262"/>
      <c r="AT675" s="262"/>
      <c r="AU675" s="262"/>
      <c r="AV675" s="262"/>
      <c r="AW675" s="262"/>
      <c r="AX675" s="262"/>
      <c r="AY675" s="262"/>
      <c r="AZ675" s="262"/>
      <c r="BA675" s="262"/>
      <c r="BB675" s="262"/>
      <c r="BC675" s="262"/>
      <c r="BD675" s="262"/>
      <c r="BE675" s="262"/>
      <c r="BF675" s="262"/>
      <c r="BG675" s="262"/>
      <c r="BH675" s="262"/>
      <c r="BI675" s="262"/>
      <c r="BJ675" s="262"/>
      <c r="BK675" s="262"/>
      <c r="BL675" s="262"/>
      <c r="BM675" s="262"/>
      <c r="BN675" s="262"/>
      <c r="BO675" s="262"/>
      <c r="BP675" s="262"/>
      <c r="BQ675" s="262"/>
      <c r="BR675" s="262"/>
      <c r="BS675" s="262"/>
      <c r="BT675" s="262"/>
      <c r="BU675" s="262"/>
      <c r="BV675" s="262"/>
      <c r="BW675" s="262"/>
      <c r="BX675" s="262"/>
      <c r="BY675" s="262"/>
      <c r="BZ675" s="262"/>
      <c r="CA675" s="262"/>
      <c r="CB675" s="262"/>
      <c r="CC675" s="262"/>
      <c r="CD675" s="262"/>
      <c r="CE675" s="262"/>
      <c r="CF675" s="262"/>
      <c r="CG675" s="262"/>
      <c r="CH675" s="262"/>
      <c r="CI675" s="262"/>
      <c r="CJ675" s="262"/>
      <c r="CK675" s="262"/>
      <c r="CL675" s="262"/>
      <c r="CM675" s="262"/>
      <c r="CN675" s="262"/>
      <c r="CO675" s="262"/>
      <c r="CP675" s="262"/>
      <c r="CQ675" s="262"/>
      <c r="CR675" s="262"/>
      <c r="CS675" s="262"/>
      <c r="CT675" s="262"/>
      <c r="CU675" s="262"/>
      <c r="CV675" s="262"/>
    </row>
    <row r="676" spans="33:100">
      <c r="AG676" s="262"/>
      <c r="AH676" s="262"/>
      <c r="AI676" s="262"/>
      <c r="AJ676" s="262"/>
      <c r="AK676" s="262"/>
      <c r="AL676" s="262"/>
      <c r="AM676" s="262"/>
      <c r="AN676" s="262"/>
      <c r="AO676" s="262"/>
      <c r="AP676" s="262"/>
      <c r="AQ676" s="262"/>
      <c r="AR676" s="262"/>
      <c r="AS676" s="262"/>
      <c r="AT676" s="262"/>
      <c r="AU676" s="262"/>
      <c r="AV676" s="262"/>
      <c r="AW676" s="262"/>
      <c r="AX676" s="262"/>
      <c r="AY676" s="262"/>
      <c r="AZ676" s="262"/>
      <c r="BA676" s="262"/>
      <c r="BB676" s="262"/>
      <c r="BC676" s="262"/>
      <c r="BD676" s="262"/>
      <c r="BE676" s="262"/>
      <c r="BF676" s="262"/>
      <c r="BG676" s="262"/>
      <c r="BH676" s="262"/>
      <c r="BI676" s="262"/>
      <c r="BJ676" s="262"/>
      <c r="BK676" s="262"/>
      <c r="BL676" s="262"/>
      <c r="BM676" s="262"/>
      <c r="BN676" s="262"/>
      <c r="BO676" s="262"/>
      <c r="BP676" s="262"/>
      <c r="BQ676" s="262"/>
      <c r="BR676" s="262"/>
      <c r="BS676" s="262"/>
      <c r="BT676" s="262"/>
      <c r="BU676" s="262"/>
      <c r="BV676" s="262"/>
      <c r="BW676" s="262"/>
      <c r="BX676" s="262"/>
      <c r="BY676" s="262"/>
      <c r="BZ676" s="262"/>
      <c r="CA676" s="262"/>
      <c r="CB676" s="262"/>
      <c r="CC676" s="262"/>
      <c r="CD676" s="262"/>
      <c r="CE676" s="262"/>
      <c r="CF676" s="262"/>
      <c r="CG676" s="262"/>
      <c r="CH676" s="262"/>
      <c r="CI676" s="262"/>
      <c r="CJ676" s="262"/>
      <c r="CK676" s="262"/>
      <c r="CL676" s="262"/>
      <c r="CM676" s="262"/>
      <c r="CN676" s="262"/>
      <c r="CO676" s="262"/>
      <c r="CP676" s="262"/>
      <c r="CQ676" s="262"/>
      <c r="CR676" s="262"/>
      <c r="CS676" s="262"/>
      <c r="CT676" s="262"/>
      <c r="CU676" s="262"/>
      <c r="CV676" s="262"/>
    </row>
    <row r="677" spans="33:100">
      <c r="AG677" s="262"/>
      <c r="AH677" s="262"/>
      <c r="AI677" s="262"/>
      <c r="AJ677" s="262"/>
      <c r="AK677" s="262"/>
      <c r="AL677" s="262"/>
      <c r="AM677" s="262"/>
      <c r="AN677" s="262"/>
      <c r="AO677" s="262"/>
      <c r="AP677" s="262"/>
      <c r="AQ677" s="262"/>
      <c r="AR677" s="262"/>
      <c r="AS677" s="262"/>
      <c r="AT677" s="262"/>
      <c r="AU677" s="262"/>
      <c r="AV677" s="262"/>
      <c r="AW677" s="262"/>
      <c r="AX677" s="262"/>
      <c r="AY677" s="262"/>
      <c r="AZ677" s="262"/>
      <c r="BA677" s="262"/>
      <c r="BB677" s="262"/>
      <c r="BC677" s="262"/>
      <c r="BD677" s="262"/>
      <c r="BE677" s="262"/>
      <c r="BF677" s="262"/>
      <c r="BG677" s="262"/>
      <c r="BH677" s="262"/>
      <c r="BI677" s="262"/>
      <c r="BJ677" s="262"/>
      <c r="BK677" s="262"/>
      <c r="BL677" s="262"/>
      <c r="BM677" s="262"/>
      <c r="BN677" s="262"/>
      <c r="BO677" s="262"/>
      <c r="BP677" s="262"/>
      <c r="BQ677" s="262"/>
      <c r="BR677" s="262"/>
      <c r="BS677" s="262"/>
      <c r="BT677" s="262"/>
      <c r="BU677" s="262"/>
      <c r="BV677" s="262"/>
      <c r="BW677" s="262"/>
      <c r="BX677" s="262"/>
      <c r="BY677" s="262"/>
      <c r="BZ677" s="262"/>
      <c r="CA677" s="262"/>
      <c r="CB677" s="262"/>
      <c r="CC677" s="262"/>
      <c r="CD677" s="262"/>
      <c r="CE677" s="262"/>
      <c r="CF677" s="262"/>
      <c r="CG677" s="262"/>
      <c r="CH677" s="262"/>
      <c r="CI677" s="262"/>
      <c r="CJ677" s="262"/>
      <c r="CK677" s="262"/>
      <c r="CL677" s="262"/>
      <c r="CM677" s="262"/>
      <c r="CN677" s="262"/>
      <c r="CO677" s="262"/>
      <c r="CP677" s="262"/>
      <c r="CQ677" s="262"/>
      <c r="CR677" s="262"/>
      <c r="CS677" s="262"/>
      <c r="CT677" s="262"/>
      <c r="CU677" s="262"/>
      <c r="CV677" s="262"/>
    </row>
    <row r="678" spans="33:100">
      <c r="AG678" s="262"/>
      <c r="AH678" s="262"/>
      <c r="AI678" s="262"/>
      <c r="AJ678" s="262"/>
      <c r="AK678" s="262"/>
      <c r="AL678" s="262"/>
      <c r="AM678" s="262"/>
      <c r="AN678" s="262"/>
      <c r="AO678" s="262"/>
      <c r="AP678" s="262"/>
      <c r="AQ678" s="262"/>
      <c r="AR678" s="262"/>
      <c r="AS678" s="262"/>
      <c r="AT678" s="262"/>
      <c r="AU678" s="262"/>
      <c r="AV678" s="262"/>
      <c r="AW678" s="262"/>
      <c r="AX678" s="262"/>
      <c r="AY678" s="262"/>
      <c r="AZ678" s="262"/>
      <c r="BA678" s="262"/>
      <c r="BB678" s="262"/>
      <c r="BC678" s="262"/>
      <c r="BD678" s="262"/>
      <c r="BE678" s="262"/>
      <c r="BF678" s="262"/>
      <c r="BG678" s="262"/>
      <c r="BH678" s="262"/>
      <c r="BI678" s="262"/>
      <c r="BJ678" s="262"/>
      <c r="BK678" s="262"/>
      <c r="BL678" s="262"/>
      <c r="BM678" s="262"/>
      <c r="BN678" s="262"/>
      <c r="BO678" s="262"/>
      <c r="BP678" s="262"/>
      <c r="BQ678" s="262"/>
      <c r="BR678" s="262"/>
      <c r="BS678" s="262"/>
      <c r="BT678" s="262"/>
      <c r="BU678" s="262"/>
      <c r="BV678" s="262"/>
      <c r="BW678" s="262"/>
      <c r="BX678" s="262"/>
      <c r="BY678" s="262"/>
      <c r="BZ678" s="262"/>
      <c r="CA678" s="262"/>
      <c r="CB678" s="262"/>
      <c r="CC678" s="262"/>
      <c r="CD678" s="262"/>
      <c r="CE678" s="262"/>
      <c r="CF678" s="262"/>
      <c r="CG678" s="262"/>
      <c r="CH678" s="262"/>
      <c r="CI678" s="262"/>
      <c r="CJ678" s="262"/>
      <c r="CK678" s="262"/>
      <c r="CL678" s="262"/>
      <c r="CM678" s="262"/>
      <c r="CN678" s="262"/>
      <c r="CO678" s="262"/>
      <c r="CP678" s="262"/>
      <c r="CQ678" s="262"/>
      <c r="CR678" s="262"/>
      <c r="CS678" s="262"/>
      <c r="CT678" s="262"/>
      <c r="CU678" s="262"/>
      <c r="CV678" s="262"/>
    </row>
    <row r="679" spans="33:100">
      <c r="AG679" s="262"/>
      <c r="AH679" s="262"/>
      <c r="AI679" s="262"/>
      <c r="AJ679" s="262"/>
      <c r="AK679" s="262"/>
      <c r="AL679" s="262"/>
      <c r="AM679" s="262"/>
      <c r="AN679" s="262"/>
      <c r="AO679" s="262"/>
      <c r="AP679" s="262"/>
      <c r="AQ679" s="262"/>
      <c r="AR679" s="262"/>
      <c r="AS679" s="262"/>
      <c r="AT679" s="262"/>
      <c r="AU679" s="262"/>
      <c r="AV679" s="262"/>
      <c r="AW679" s="262"/>
      <c r="AX679" s="262"/>
      <c r="AY679" s="262"/>
      <c r="AZ679" s="262"/>
      <c r="BA679" s="262"/>
      <c r="BB679" s="262"/>
      <c r="BC679" s="262"/>
      <c r="BD679" s="262"/>
      <c r="BE679" s="262"/>
      <c r="BF679" s="262"/>
      <c r="BG679" s="262"/>
      <c r="BH679" s="262"/>
      <c r="BI679" s="262"/>
      <c r="BJ679" s="262"/>
      <c r="BK679" s="262"/>
      <c r="BL679" s="262"/>
      <c r="BM679" s="262"/>
      <c r="BN679" s="262"/>
      <c r="BO679" s="262"/>
      <c r="BP679" s="262"/>
      <c r="BQ679" s="262"/>
      <c r="BR679" s="262"/>
      <c r="BS679" s="262"/>
      <c r="BT679" s="262"/>
      <c r="BU679" s="262"/>
      <c r="BV679" s="262"/>
      <c r="BW679" s="262"/>
      <c r="BX679" s="262"/>
      <c r="BY679" s="262"/>
      <c r="BZ679" s="262"/>
      <c r="CA679" s="262"/>
      <c r="CB679" s="262"/>
      <c r="CC679" s="262"/>
      <c r="CD679" s="262"/>
      <c r="CE679" s="262"/>
      <c r="CF679" s="262"/>
      <c r="CG679" s="262"/>
      <c r="CH679" s="262"/>
      <c r="CI679" s="262"/>
      <c r="CJ679" s="262"/>
      <c r="CK679" s="262"/>
      <c r="CL679" s="262"/>
      <c r="CM679" s="262"/>
      <c r="CN679" s="262"/>
      <c r="CO679" s="262"/>
      <c r="CP679" s="262"/>
      <c r="CQ679" s="262"/>
      <c r="CR679" s="262"/>
      <c r="CS679" s="262"/>
      <c r="CT679" s="262"/>
      <c r="CU679" s="262"/>
      <c r="CV679" s="262"/>
    </row>
    <row r="680" spans="33:100">
      <c r="AG680" s="262"/>
      <c r="AH680" s="262"/>
      <c r="AI680" s="262"/>
      <c r="AJ680" s="262"/>
      <c r="AK680" s="262"/>
      <c r="AL680" s="262"/>
      <c r="AM680" s="262"/>
      <c r="AN680" s="262"/>
      <c r="AO680" s="262"/>
      <c r="AP680" s="262"/>
      <c r="AQ680" s="262"/>
      <c r="AR680" s="262"/>
      <c r="AS680" s="262"/>
      <c r="AT680" s="262"/>
      <c r="AU680" s="262"/>
      <c r="AV680" s="262"/>
      <c r="AW680" s="262"/>
      <c r="AX680" s="262"/>
      <c r="AY680" s="262"/>
      <c r="AZ680" s="262"/>
      <c r="BA680" s="262"/>
      <c r="BB680" s="262"/>
      <c r="BC680" s="262"/>
      <c r="BD680" s="262"/>
      <c r="BE680" s="262"/>
      <c r="BF680" s="262"/>
      <c r="BG680" s="262"/>
      <c r="BH680" s="262"/>
      <c r="BI680" s="262"/>
      <c r="BJ680" s="262"/>
      <c r="BK680" s="262"/>
      <c r="BL680" s="262"/>
      <c r="BM680" s="262"/>
      <c r="BN680" s="262"/>
      <c r="BO680" s="262"/>
      <c r="BP680" s="262"/>
      <c r="BQ680" s="262"/>
      <c r="BR680" s="262"/>
      <c r="BS680" s="262"/>
      <c r="BT680" s="262"/>
      <c r="BU680" s="262"/>
      <c r="BV680" s="262"/>
      <c r="BW680" s="262"/>
      <c r="BX680" s="262"/>
      <c r="BY680" s="262"/>
      <c r="BZ680" s="262"/>
      <c r="CA680" s="262"/>
      <c r="CB680" s="262"/>
      <c r="CC680" s="262"/>
      <c r="CD680" s="262"/>
      <c r="CE680" s="262"/>
      <c r="CF680" s="262"/>
      <c r="CG680" s="262"/>
      <c r="CH680" s="262"/>
      <c r="CI680" s="262"/>
      <c r="CJ680" s="262"/>
      <c r="CK680" s="262"/>
      <c r="CL680" s="262"/>
      <c r="CM680" s="262"/>
      <c r="CN680" s="262"/>
      <c r="CO680" s="262"/>
      <c r="CP680" s="262"/>
      <c r="CQ680" s="262"/>
      <c r="CR680" s="262"/>
      <c r="CS680" s="262"/>
      <c r="CT680" s="262"/>
      <c r="CU680" s="262"/>
      <c r="CV680" s="262"/>
    </row>
    <row r="681" spans="33:100">
      <c r="AG681" s="262"/>
      <c r="AH681" s="262"/>
      <c r="AI681" s="262"/>
      <c r="AJ681" s="262"/>
      <c r="AK681" s="262"/>
      <c r="AL681" s="262"/>
      <c r="AM681" s="262"/>
      <c r="AN681" s="262"/>
      <c r="AO681" s="262"/>
      <c r="AP681" s="262"/>
      <c r="AQ681" s="262"/>
      <c r="AR681" s="262"/>
      <c r="AS681" s="262"/>
      <c r="AT681" s="262"/>
      <c r="AU681" s="262"/>
      <c r="AV681" s="262"/>
      <c r="AW681" s="262"/>
      <c r="AX681" s="262"/>
      <c r="AY681" s="262"/>
      <c r="AZ681" s="262"/>
      <c r="BA681" s="262"/>
      <c r="BB681" s="262"/>
      <c r="BC681" s="262"/>
      <c r="BD681" s="262"/>
      <c r="BE681" s="262"/>
      <c r="BF681" s="262"/>
      <c r="BG681" s="262"/>
      <c r="BH681" s="262"/>
      <c r="BI681" s="262"/>
      <c r="BJ681" s="262"/>
      <c r="BK681" s="262"/>
      <c r="BL681" s="262"/>
      <c r="BM681" s="262"/>
      <c r="BN681" s="262"/>
      <c r="BO681" s="262"/>
      <c r="BP681" s="262"/>
      <c r="BQ681" s="262"/>
      <c r="BR681" s="262"/>
      <c r="BS681" s="262"/>
      <c r="BT681" s="262"/>
      <c r="BU681" s="262"/>
      <c r="BV681" s="262"/>
      <c r="BW681" s="262"/>
      <c r="BX681" s="262"/>
      <c r="BY681" s="262"/>
      <c r="BZ681" s="262"/>
      <c r="CA681" s="262"/>
      <c r="CB681" s="262"/>
      <c r="CC681" s="262"/>
      <c r="CD681" s="262"/>
      <c r="CE681" s="262"/>
      <c r="CF681" s="262"/>
      <c r="CG681" s="262"/>
      <c r="CH681" s="262"/>
      <c r="CI681" s="262"/>
      <c r="CJ681" s="262"/>
      <c r="CK681" s="262"/>
      <c r="CL681" s="262"/>
      <c r="CM681" s="262"/>
      <c r="CN681" s="262"/>
      <c r="CO681" s="262"/>
      <c r="CP681" s="262"/>
      <c r="CQ681" s="262"/>
      <c r="CR681" s="262"/>
      <c r="CS681" s="262"/>
      <c r="CT681" s="262"/>
      <c r="CU681" s="262"/>
      <c r="CV681" s="262"/>
    </row>
    <row r="682" spans="33:100">
      <c r="AG682" s="262"/>
      <c r="AH682" s="262"/>
      <c r="AI682" s="262"/>
      <c r="AJ682" s="262"/>
      <c r="AK682" s="262"/>
      <c r="AL682" s="262"/>
      <c r="AM682" s="262"/>
      <c r="AN682" s="262"/>
      <c r="AO682" s="262"/>
      <c r="AP682" s="262"/>
      <c r="AQ682" s="262"/>
      <c r="AR682" s="262"/>
      <c r="AS682" s="262"/>
      <c r="AT682" s="262"/>
      <c r="AU682" s="262"/>
      <c r="AV682" s="262"/>
      <c r="AW682" s="262"/>
      <c r="AX682" s="262"/>
      <c r="AY682" s="262"/>
      <c r="AZ682" s="262"/>
      <c r="BA682" s="262"/>
      <c r="BB682" s="262"/>
      <c r="BC682" s="262"/>
      <c r="BD682" s="262"/>
      <c r="BE682" s="262"/>
      <c r="BF682" s="262"/>
      <c r="BG682" s="262"/>
      <c r="BH682" s="262"/>
      <c r="BI682" s="262"/>
      <c r="BJ682" s="262"/>
      <c r="BK682" s="262"/>
      <c r="BL682" s="262"/>
      <c r="BM682" s="262"/>
      <c r="BN682" s="262"/>
      <c r="BO682" s="262"/>
      <c r="BP682" s="262"/>
      <c r="BQ682" s="262"/>
      <c r="BR682" s="262"/>
      <c r="BS682" s="262"/>
      <c r="BT682" s="262"/>
      <c r="BU682" s="262"/>
      <c r="BV682" s="262"/>
      <c r="BW682" s="262"/>
      <c r="BX682" s="262"/>
      <c r="BY682" s="262"/>
      <c r="BZ682" s="262"/>
      <c r="CA682" s="262"/>
      <c r="CB682" s="262"/>
      <c r="CC682" s="262"/>
      <c r="CD682" s="262"/>
      <c r="CE682" s="262"/>
      <c r="CF682" s="262"/>
      <c r="CG682" s="262"/>
      <c r="CH682" s="262"/>
      <c r="CI682" s="262"/>
      <c r="CJ682" s="262"/>
      <c r="CK682" s="262"/>
      <c r="CL682" s="262"/>
      <c r="CM682" s="262"/>
      <c r="CN682" s="262"/>
      <c r="CO682" s="262"/>
      <c r="CP682" s="262"/>
      <c r="CQ682" s="262"/>
      <c r="CR682" s="262"/>
      <c r="CS682" s="262"/>
      <c r="CT682" s="262"/>
      <c r="CU682" s="262"/>
      <c r="CV682" s="262"/>
    </row>
    <row r="683" spans="33:100">
      <c r="AG683" s="262"/>
      <c r="AH683" s="262"/>
      <c r="AI683" s="262"/>
      <c r="AJ683" s="262"/>
      <c r="AK683" s="262"/>
      <c r="AL683" s="262"/>
      <c r="AM683" s="262"/>
      <c r="AN683" s="262"/>
      <c r="AO683" s="262"/>
      <c r="AP683" s="262"/>
      <c r="AQ683" s="262"/>
      <c r="AR683" s="262"/>
      <c r="AS683" s="262"/>
      <c r="AT683" s="262"/>
      <c r="AU683" s="262"/>
      <c r="AV683" s="262"/>
      <c r="AW683" s="262"/>
      <c r="AX683" s="262"/>
      <c r="AY683" s="262"/>
      <c r="AZ683" s="262"/>
      <c r="BA683" s="262"/>
      <c r="BB683" s="262"/>
      <c r="BC683" s="262"/>
      <c r="BD683" s="262"/>
      <c r="BE683" s="262"/>
      <c r="BF683" s="262"/>
      <c r="BG683" s="262"/>
      <c r="BH683" s="262"/>
      <c r="BI683" s="262"/>
      <c r="BJ683" s="262"/>
      <c r="BK683" s="262"/>
      <c r="BL683" s="262"/>
      <c r="BM683" s="262"/>
      <c r="BN683" s="262"/>
      <c r="BO683" s="262"/>
      <c r="BP683" s="262"/>
      <c r="BQ683" s="262"/>
      <c r="BR683" s="262"/>
      <c r="BS683" s="262"/>
      <c r="BT683" s="262"/>
      <c r="BU683" s="262"/>
      <c r="BV683" s="262"/>
      <c r="BW683" s="262"/>
      <c r="BX683" s="262"/>
      <c r="BY683" s="262"/>
      <c r="BZ683" s="262"/>
      <c r="CA683" s="262"/>
      <c r="CB683" s="262"/>
      <c r="CC683" s="262"/>
      <c r="CD683" s="262"/>
      <c r="CE683" s="262"/>
      <c r="CF683" s="262"/>
      <c r="CG683" s="262"/>
      <c r="CH683" s="262"/>
      <c r="CI683" s="262"/>
      <c r="CJ683" s="262"/>
      <c r="CK683" s="262"/>
      <c r="CL683" s="262"/>
      <c r="CM683" s="262"/>
      <c r="CN683" s="262"/>
      <c r="CO683" s="262"/>
      <c r="CP683" s="262"/>
      <c r="CQ683" s="262"/>
      <c r="CR683" s="262"/>
      <c r="CS683" s="262"/>
      <c r="CT683" s="262"/>
      <c r="CU683" s="262"/>
      <c r="CV683" s="262"/>
    </row>
    <row r="684" spans="33:100">
      <c r="AG684" s="262"/>
      <c r="AH684" s="262"/>
      <c r="AI684" s="262"/>
      <c r="AJ684" s="262"/>
      <c r="AK684" s="262"/>
      <c r="AL684" s="262"/>
      <c r="AM684" s="262"/>
      <c r="AN684" s="262"/>
      <c r="AO684" s="262"/>
      <c r="AP684" s="262"/>
      <c r="AQ684" s="262"/>
      <c r="AR684" s="262"/>
      <c r="AS684" s="262"/>
      <c r="AT684" s="262"/>
      <c r="AU684" s="262"/>
      <c r="AV684" s="262"/>
      <c r="AW684" s="262"/>
      <c r="AX684" s="262"/>
      <c r="AY684" s="262"/>
      <c r="AZ684" s="262"/>
      <c r="BA684" s="262"/>
      <c r="BB684" s="262"/>
      <c r="BC684" s="262"/>
      <c r="BD684" s="262"/>
      <c r="BE684" s="262"/>
      <c r="BF684" s="262"/>
      <c r="BG684" s="262"/>
      <c r="BH684" s="262"/>
      <c r="BI684" s="262"/>
      <c r="BJ684" s="262"/>
      <c r="BK684" s="262"/>
      <c r="BL684" s="262"/>
      <c r="BM684" s="262"/>
      <c r="BN684" s="262"/>
      <c r="BO684" s="262"/>
      <c r="BP684" s="262"/>
      <c r="BQ684" s="262"/>
      <c r="BR684" s="262"/>
      <c r="BS684" s="262"/>
      <c r="BT684" s="262"/>
      <c r="BU684" s="262"/>
      <c r="BV684" s="262"/>
      <c r="BW684" s="262"/>
      <c r="BX684" s="262"/>
      <c r="BY684" s="262"/>
      <c r="BZ684" s="262"/>
      <c r="CA684" s="262"/>
      <c r="CB684" s="262"/>
      <c r="CC684" s="262"/>
      <c r="CD684" s="262"/>
      <c r="CE684" s="262"/>
      <c r="CF684" s="262"/>
      <c r="CG684" s="262"/>
      <c r="CH684" s="262"/>
      <c r="CI684" s="262"/>
      <c r="CJ684" s="262"/>
      <c r="CK684" s="262"/>
      <c r="CL684" s="262"/>
      <c r="CM684" s="262"/>
      <c r="CN684" s="262"/>
      <c r="CO684" s="262"/>
      <c r="CP684" s="262"/>
      <c r="CQ684" s="262"/>
      <c r="CR684" s="262"/>
      <c r="CS684" s="262"/>
      <c r="CT684" s="262"/>
      <c r="CU684" s="262"/>
      <c r="CV684" s="262"/>
    </row>
    <row r="685" spans="33:100">
      <c r="AG685" s="262"/>
      <c r="AH685" s="262"/>
      <c r="AI685" s="262"/>
      <c r="AJ685" s="262"/>
      <c r="AK685" s="262"/>
      <c r="AL685" s="262"/>
      <c r="AM685" s="262"/>
      <c r="AN685" s="262"/>
      <c r="AO685" s="262"/>
      <c r="AP685" s="262"/>
      <c r="AQ685" s="262"/>
      <c r="AR685" s="262"/>
      <c r="AS685" s="262"/>
      <c r="AT685" s="262"/>
      <c r="AU685" s="262"/>
      <c r="AV685" s="262"/>
      <c r="AW685" s="262"/>
      <c r="AX685" s="262"/>
      <c r="AY685" s="262"/>
      <c r="AZ685" s="262"/>
      <c r="BA685" s="262"/>
      <c r="BB685" s="262"/>
      <c r="BC685" s="262"/>
      <c r="BD685" s="262"/>
      <c r="BE685" s="262"/>
      <c r="BF685" s="262"/>
      <c r="BG685" s="262"/>
      <c r="BH685" s="262"/>
      <c r="BI685" s="262"/>
      <c r="BJ685" s="262"/>
      <c r="BK685" s="262"/>
      <c r="BL685" s="262"/>
      <c r="BM685" s="262"/>
      <c r="BN685" s="262"/>
      <c r="BO685" s="262"/>
      <c r="BP685" s="262"/>
      <c r="BQ685" s="262"/>
      <c r="BR685" s="262"/>
      <c r="BS685" s="262"/>
      <c r="BT685" s="262"/>
      <c r="BU685" s="262"/>
      <c r="BV685" s="262"/>
      <c r="BW685" s="262"/>
      <c r="BX685" s="262"/>
      <c r="BY685" s="262"/>
      <c r="BZ685" s="262"/>
      <c r="CA685" s="262"/>
      <c r="CB685" s="262"/>
      <c r="CC685" s="262"/>
      <c r="CD685" s="262"/>
      <c r="CE685" s="262"/>
      <c r="CF685" s="262"/>
      <c r="CG685" s="262"/>
      <c r="CH685" s="262"/>
      <c r="CI685" s="262"/>
      <c r="CJ685" s="262"/>
      <c r="CK685" s="262"/>
      <c r="CL685" s="262"/>
      <c r="CM685" s="262"/>
      <c r="CN685" s="262"/>
      <c r="CO685" s="262"/>
      <c r="CP685" s="262"/>
      <c r="CQ685" s="262"/>
      <c r="CR685" s="262"/>
      <c r="CS685" s="262"/>
      <c r="CT685" s="262"/>
      <c r="CU685" s="262"/>
      <c r="CV685" s="262"/>
    </row>
    <row r="686" spans="33:100">
      <c r="AG686" s="262"/>
      <c r="AH686" s="262"/>
      <c r="AI686" s="262"/>
      <c r="AJ686" s="262"/>
      <c r="AK686" s="262"/>
      <c r="AL686" s="262"/>
      <c r="AM686" s="262"/>
      <c r="AN686" s="262"/>
      <c r="AO686" s="262"/>
      <c r="AP686" s="262"/>
      <c r="AQ686" s="262"/>
      <c r="AR686" s="262"/>
      <c r="AS686" s="262"/>
      <c r="AT686" s="262"/>
      <c r="AU686" s="262"/>
      <c r="AV686" s="262"/>
      <c r="AW686" s="262"/>
      <c r="AX686" s="262"/>
      <c r="AY686" s="262"/>
      <c r="AZ686" s="262"/>
      <c r="BA686" s="262"/>
      <c r="BB686" s="262"/>
      <c r="BC686" s="262"/>
      <c r="BD686" s="262"/>
      <c r="BE686" s="262"/>
      <c r="BF686" s="262"/>
      <c r="BG686" s="262"/>
      <c r="BH686" s="262"/>
      <c r="BI686" s="262"/>
      <c r="BJ686" s="262"/>
      <c r="BK686" s="262"/>
      <c r="BL686" s="262"/>
      <c r="BM686" s="262"/>
      <c r="BN686" s="262"/>
      <c r="BO686" s="262"/>
      <c r="BP686" s="262"/>
      <c r="BQ686" s="262"/>
      <c r="BR686" s="262"/>
      <c r="BS686" s="262"/>
      <c r="BT686" s="262"/>
      <c r="BU686" s="262"/>
      <c r="BV686" s="262"/>
      <c r="BW686" s="262"/>
      <c r="BX686" s="262"/>
      <c r="BY686" s="262"/>
      <c r="BZ686" s="262"/>
      <c r="CA686" s="262"/>
      <c r="CB686" s="262"/>
      <c r="CC686" s="262"/>
      <c r="CD686" s="262"/>
      <c r="CE686" s="262"/>
      <c r="CF686" s="262"/>
      <c r="CG686" s="262"/>
      <c r="CH686" s="262"/>
      <c r="CI686" s="262"/>
      <c r="CJ686" s="262"/>
      <c r="CK686" s="262"/>
      <c r="CL686" s="262"/>
      <c r="CM686" s="262"/>
      <c r="CN686" s="262"/>
      <c r="CO686" s="262"/>
      <c r="CP686" s="262"/>
      <c r="CQ686" s="262"/>
      <c r="CR686" s="262"/>
      <c r="CS686" s="262"/>
      <c r="CT686" s="262"/>
      <c r="CU686" s="262"/>
      <c r="CV686" s="262"/>
    </row>
    <row r="687" spans="33:100">
      <c r="AG687" s="262"/>
      <c r="AH687" s="262"/>
      <c r="AI687" s="262"/>
      <c r="AJ687" s="262"/>
      <c r="AK687" s="262"/>
      <c r="AL687" s="262"/>
      <c r="AM687" s="262"/>
      <c r="AN687" s="262"/>
      <c r="AO687" s="262"/>
      <c r="AP687" s="262"/>
      <c r="AQ687" s="262"/>
      <c r="AR687" s="262"/>
      <c r="AS687" s="262"/>
      <c r="AT687" s="262"/>
      <c r="AU687" s="262"/>
      <c r="AV687" s="262"/>
      <c r="AW687" s="262"/>
      <c r="AX687" s="262"/>
      <c r="AY687" s="262"/>
      <c r="AZ687" s="262"/>
      <c r="BA687" s="262"/>
      <c r="BB687" s="262"/>
      <c r="BC687" s="262"/>
      <c r="BD687" s="262"/>
      <c r="BE687" s="262"/>
      <c r="BF687" s="262"/>
      <c r="BG687" s="262"/>
      <c r="BH687" s="262"/>
      <c r="BI687" s="262"/>
      <c r="BJ687" s="262"/>
      <c r="BK687" s="262"/>
      <c r="BL687" s="262"/>
      <c r="BM687" s="262"/>
      <c r="BN687" s="262"/>
      <c r="BO687" s="262"/>
      <c r="BP687" s="262"/>
      <c r="BQ687" s="262"/>
      <c r="BR687" s="262"/>
      <c r="BS687" s="262"/>
      <c r="BT687" s="262"/>
      <c r="BU687" s="262"/>
      <c r="BV687" s="262"/>
      <c r="BW687" s="262"/>
      <c r="BX687" s="262"/>
      <c r="BY687" s="262"/>
      <c r="BZ687" s="262"/>
      <c r="CA687" s="262"/>
      <c r="CB687" s="262"/>
      <c r="CC687" s="262"/>
      <c r="CD687" s="262"/>
      <c r="CE687" s="262"/>
      <c r="CF687" s="262"/>
      <c r="CG687" s="262"/>
      <c r="CH687" s="262"/>
      <c r="CI687" s="262"/>
      <c r="CJ687" s="262"/>
      <c r="CK687" s="262"/>
      <c r="CL687" s="262"/>
      <c r="CM687" s="262"/>
      <c r="CN687" s="262"/>
      <c r="CO687" s="262"/>
      <c r="CP687" s="262"/>
      <c r="CQ687" s="262"/>
      <c r="CR687" s="262"/>
      <c r="CS687" s="262"/>
      <c r="CT687" s="262"/>
      <c r="CU687" s="262"/>
      <c r="CV687" s="262"/>
    </row>
    <row r="688" spans="33:100">
      <c r="AG688" s="262"/>
      <c r="AH688" s="262"/>
      <c r="AI688" s="262"/>
      <c r="AJ688" s="262"/>
      <c r="AK688" s="262"/>
      <c r="AL688" s="262"/>
      <c r="AM688" s="262"/>
      <c r="AN688" s="262"/>
      <c r="AO688" s="262"/>
      <c r="AP688" s="262"/>
      <c r="AQ688" s="262"/>
      <c r="AR688" s="262"/>
      <c r="AS688" s="262"/>
      <c r="AT688" s="262"/>
      <c r="AU688" s="262"/>
      <c r="AV688" s="262"/>
      <c r="AW688" s="262"/>
      <c r="AX688" s="262"/>
      <c r="AY688" s="262"/>
      <c r="AZ688" s="262"/>
      <c r="BA688" s="262"/>
      <c r="BB688" s="262"/>
      <c r="BC688" s="262"/>
      <c r="BD688" s="262"/>
      <c r="BE688" s="262"/>
      <c r="BF688" s="262"/>
      <c r="BG688" s="262"/>
      <c r="BH688" s="262"/>
      <c r="BI688" s="262"/>
      <c r="BJ688" s="262"/>
      <c r="BK688" s="262"/>
      <c r="BL688" s="262"/>
      <c r="BM688" s="262"/>
      <c r="BN688" s="262"/>
      <c r="BO688" s="262"/>
      <c r="BP688" s="262"/>
      <c r="BQ688" s="262"/>
      <c r="BR688" s="262"/>
      <c r="BS688" s="262"/>
      <c r="BT688" s="262"/>
      <c r="BU688" s="262"/>
      <c r="BV688" s="262"/>
      <c r="BW688" s="262"/>
      <c r="BX688" s="262"/>
      <c r="BY688" s="262"/>
      <c r="BZ688" s="262"/>
      <c r="CA688" s="262"/>
      <c r="CB688" s="262"/>
      <c r="CC688" s="262"/>
      <c r="CD688" s="262"/>
      <c r="CE688" s="262"/>
      <c r="CF688" s="262"/>
      <c r="CG688" s="262"/>
      <c r="CH688" s="262"/>
      <c r="CI688" s="262"/>
      <c r="CJ688" s="262"/>
      <c r="CK688" s="262"/>
      <c r="CL688" s="262"/>
      <c r="CM688" s="262"/>
      <c r="CN688" s="262"/>
      <c r="CO688" s="262"/>
      <c r="CP688" s="262"/>
      <c r="CQ688" s="262"/>
      <c r="CR688" s="262"/>
      <c r="CS688" s="262"/>
      <c r="CT688" s="262"/>
      <c r="CU688" s="262"/>
      <c r="CV688" s="262"/>
    </row>
    <row r="689" spans="33:100">
      <c r="AG689" s="262"/>
      <c r="AH689" s="262"/>
      <c r="AI689" s="262"/>
      <c r="AJ689" s="262"/>
      <c r="AK689" s="262"/>
      <c r="AL689" s="262"/>
      <c r="AM689" s="262"/>
      <c r="AN689" s="262"/>
      <c r="AO689" s="262"/>
      <c r="AP689" s="262"/>
      <c r="AQ689" s="262"/>
      <c r="AR689" s="262"/>
      <c r="AS689" s="262"/>
      <c r="AT689" s="262"/>
      <c r="AU689" s="262"/>
      <c r="AV689" s="262"/>
      <c r="AW689" s="262"/>
      <c r="AX689" s="262"/>
      <c r="AY689" s="262"/>
      <c r="AZ689" s="262"/>
      <c r="BA689" s="262"/>
      <c r="BB689" s="262"/>
      <c r="BC689" s="262"/>
      <c r="BD689" s="262"/>
      <c r="BE689" s="262"/>
      <c r="BF689" s="262"/>
      <c r="BG689" s="262"/>
      <c r="BH689" s="262"/>
      <c r="BI689" s="262"/>
      <c r="BJ689" s="262"/>
      <c r="BK689" s="262"/>
      <c r="BL689" s="262"/>
      <c r="BM689" s="262"/>
      <c r="BN689" s="262"/>
      <c r="BO689" s="262"/>
      <c r="BP689" s="262"/>
      <c r="BQ689" s="262"/>
      <c r="BR689" s="262"/>
      <c r="BS689" s="262"/>
      <c r="BT689" s="262"/>
      <c r="BU689" s="262"/>
      <c r="BV689" s="262"/>
      <c r="BW689" s="262"/>
      <c r="BX689" s="262"/>
      <c r="BY689" s="262"/>
      <c r="BZ689" s="262"/>
      <c r="CA689" s="262"/>
      <c r="CB689" s="262"/>
      <c r="CC689" s="262"/>
      <c r="CD689" s="262"/>
      <c r="CE689" s="262"/>
      <c r="CF689" s="262"/>
      <c r="CG689" s="262"/>
      <c r="CH689" s="262"/>
      <c r="CI689" s="262"/>
      <c r="CJ689" s="262"/>
      <c r="CK689" s="262"/>
      <c r="CL689" s="262"/>
      <c r="CM689" s="262"/>
      <c r="CN689" s="262"/>
      <c r="CO689" s="262"/>
      <c r="CP689" s="262"/>
      <c r="CQ689" s="262"/>
      <c r="CR689" s="262"/>
      <c r="CS689" s="262"/>
      <c r="CT689" s="262"/>
      <c r="CU689" s="262"/>
      <c r="CV689" s="262"/>
    </row>
    <row r="690" spans="33:100">
      <c r="AG690" s="262"/>
      <c r="AH690" s="262"/>
      <c r="AI690" s="262"/>
      <c r="AJ690" s="262"/>
      <c r="AK690" s="262"/>
      <c r="AL690" s="262"/>
      <c r="AM690" s="262"/>
      <c r="AN690" s="262"/>
      <c r="AO690" s="262"/>
      <c r="AP690" s="262"/>
      <c r="AQ690" s="262"/>
      <c r="AR690" s="262"/>
      <c r="AS690" s="262"/>
      <c r="AT690" s="262"/>
      <c r="AU690" s="262"/>
      <c r="AV690" s="262"/>
      <c r="AW690" s="262"/>
      <c r="AX690" s="262"/>
      <c r="AY690" s="262"/>
      <c r="AZ690" s="262"/>
      <c r="BA690" s="262"/>
      <c r="BB690" s="262"/>
      <c r="BC690" s="262"/>
      <c r="BD690" s="262"/>
      <c r="BE690" s="262"/>
      <c r="BF690" s="262"/>
      <c r="BG690" s="262"/>
      <c r="BH690" s="262"/>
      <c r="BI690" s="262"/>
      <c r="BJ690" s="262"/>
      <c r="BK690" s="262"/>
      <c r="BL690" s="262"/>
      <c r="BM690" s="262"/>
      <c r="BN690" s="262"/>
      <c r="BO690" s="262"/>
      <c r="BP690" s="262"/>
      <c r="BQ690" s="262"/>
      <c r="BR690" s="262"/>
      <c r="BS690" s="262"/>
      <c r="BT690" s="262"/>
      <c r="BU690" s="262"/>
      <c r="BV690" s="262"/>
      <c r="BW690" s="262"/>
      <c r="BX690" s="262"/>
      <c r="BY690" s="262"/>
      <c r="BZ690" s="262"/>
      <c r="CA690" s="262"/>
      <c r="CB690" s="262"/>
      <c r="CC690" s="262"/>
      <c r="CD690" s="262"/>
      <c r="CE690" s="262"/>
      <c r="CF690" s="262"/>
      <c r="CG690" s="262"/>
      <c r="CH690" s="262"/>
      <c r="CI690" s="262"/>
      <c r="CJ690" s="262"/>
      <c r="CK690" s="262"/>
      <c r="CL690" s="262"/>
      <c r="CM690" s="262"/>
      <c r="CN690" s="262"/>
      <c r="CO690" s="262"/>
      <c r="CP690" s="262"/>
      <c r="CQ690" s="262"/>
      <c r="CR690" s="262"/>
      <c r="CS690" s="262"/>
      <c r="CT690" s="262"/>
      <c r="CU690" s="262"/>
      <c r="CV690" s="262"/>
    </row>
    <row r="691" spans="33:100">
      <c r="AG691" s="262"/>
      <c r="AH691" s="262"/>
      <c r="AI691" s="262"/>
      <c r="AJ691" s="262"/>
      <c r="AK691" s="262"/>
      <c r="AL691" s="262"/>
      <c r="AM691" s="262"/>
      <c r="AN691" s="262"/>
      <c r="AO691" s="262"/>
      <c r="AP691" s="262"/>
      <c r="AQ691" s="262"/>
      <c r="AR691" s="262"/>
      <c r="AS691" s="262"/>
      <c r="AT691" s="262"/>
      <c r="AU691" s="262"/>
      <c r="AV691" s="262"/>
      <c r="AW691" s="262"/>
      <c r="AX691" s="262"/>
      <c r="AY691" s="262"/>
      <c r="AZ691" s="262"/>
      <c r="BA691" s="262"/>
      <c r="BB691" s="262"/>
      <c r="BC691" s="262"/>
      <c r="BD691" s="262"/>
      <c r="BE691" s="262"/>
      <c r="BF691" s="262"/>
      <c r="BG691" s="262"/>
      <c r="BH691" s="262"/>
      <c r="BI691" s="262"/>
      <c r="BJ691" s="262"/>
      <c r="BK691" s="262"/>
      <c r="BL691" s="262"/>
      <c r="BM691" s="262"/>
      <c r="BN691" s="262"/>
      <c r="BO691" s="262"/>
      <c r="BP691" s="262"/>
      <c r="BQ691" s="262"/>
      <c r="BR691" s="262"/>
      <c r="BS691" s="262"/>
      <c r="BT691" s="262"/>
      <c r="BU691" s="262"/>
      <c r="BV691" s="262"/>
      <c r="BW691" s="262"/>
      <c r="BX691" s="262"/>
      <c r="BY691" s="262"/>
      <c r="BZ691" s="262"/>
      <c r="CA691" s="262"/>
      <c r="CB691" s="262"/>
      <c r="CC691" s="262"/>
      <c r="CD691" s="262"/>
      <c r="CE691" s="262"/>
      <c r="CF691" s="262"/>
      <c r="CG691" s="262"/>
      <c r="CH691" s="262"/>
      <c r="CI691" s="262"/>
      <c r="CJ691" s="262"/>
      <c r="CK691" s="262"/>
      <c r="CL691" s="262"/>
      <c r="CM691" s="262"/>
      <c r="CN691" s="262"/>
      <c r="CO691" s="262"/>
      <c r="CP691" s="262"/>
      <c r="CQ691" s="262"/>
      <c r="CR691" s="262"/>
      <c r="CS691" s="262"/>
      <c r="CT691" s="262"/>
      <c r="CU691" s="262"/>
      <c r="CV691" s="262"/>
    </row>
    <row r="692" spans="33:100">
      <c r="AG692" s="262"/>
      <c r="AH692" s="262"/>
      <c r="AI692" s="262"/>
      <c r="AJ692" s="262"/>
      <c r="AK692" s="262"/>
      <c r="AL692" s="262"/>
      <c r="AM692" s="262"/>
      <c r="AN692" s="262"/>
      <c r="AO692" s="262"/>
      <c r="AP692" s="262"/>
      <c r="AQ692" s="262"/>
      <c r="AR692" s="262"/>
      <c r="AS692" s="262"/>
      <c r="AT692" s="262"/>
      <c r="AU692" s="262"/>
      <c r="AV692" s="262"/>
      <c r="AW692" s="262"/>
      <c r="AX692" s="262"/>
      <c r="AY692" s="262"/>
      <c r="AZ692" s="262"/>
      <c r="BA692" s="262"/>
      <c r="BB692" s="262"/>
      <c r="BC692" s="262"/>
      <c r="BD692" s="262"/>
      <c r="BE692" s="262"/>
      <c r="BF692" s="262"/>
      <c r="BG692" s="262"/>
      <c r="BH692" s="262"/>
      <c r="BI692" s="262"/>
      <c r="BJ692" s="262"/>
      <c r="BK692" s="262"/>
      <c r="BL692" s="262"/>
      <c r="BM692" s="262"/>
      <c r="BN692" s="262"/>
      <c r="BO692" s="262"/>
      <c r="BP692" s="262"/>
      <c r="BQ692" s="262"/>
      <c r="BR692" s="262"/>
      <c r="BS692" s="262"/>
      <c r="BT692" s="262"/>
      <c r="BU692" s="262"/>
      <c r="BV692" s="262"/>
      <c r="BW692" s="262"/>
      <c r="BX692" s="262"/>
      <c r="BY692" s="262"/>
      <c r="BZ692" s="262"/>
      <c r="CA692" s="262"/>
      <c r="CB692" s="262"/>
      <c r="CC692" s="262"/>
      <c r="CD692" s="262"/>
      <c r="CE692" s="262"/>
      <c r="CF692" s="262"/>
      <c r="CG692" s="262"/>
      <c r="CH692" s="262"/>
      <c r="CI692" s="262"/>
      <c r="CJ692" s="262"/>
      <c r="CK692" s="262"/>
      <c r="CL692" s="262"/>
      <c r="CM692" s="262"/>
      <c r="CN692" s="262"/>
      <c r="CO692" s="262"/>
      <c r="CP692" s="262"/>
      <c r="CQ692" s="262"/>
      <c r="CR692" s="262"/>
      <c r="CS692" s="262"/>
      <c r="CT692" s="262"/>
      <c r="CU692" s="262"/>
      <c r="CV692" s="262"/>
    </row>
    <row r="693" spans="33:100">
      <c r="AG693" s="262"/>
      <c r="AH693" s="262"/>
      <c r="AI693" s="262"/>
      <c r="AJ693" s="262"/>
      <c r="AK693" s="262"/>
      <c r="AL693" s="262"/>
      <c r="AM693" s="262"/>
      <c r="AN693" s="262"/>
      <c r="AO693" s="262"/>
      <c r="AP693" s="262"/>
      <c r="AQ693" s="262"/>
      <c r="AR693" s="262"/>
      <c r="AS693" s="262"/>
      <c r="AT693" s="262"/>
      <c r="AU693" s="262"/>
      <c r="AV693" s="262"/>
      <c r="AW693" s="262"/>
      <c r="AX693" s="262"/>
      <c r="AY693" s="262"/>
      <c r="AZ693" s="262"/>
      <c r="BA693" s="262"/>
      <c r="BB693" s="262"/>
      <c r="BC693" s="262"/>
      <c r="BD693" s="262"/>
      <c r="BE693" s="262"/>
      <c r="BF693" s="262"/>
      <c r="BG693" s="262"/>
      <c r="BH693" s="262"/>
      <c r="BI693" s="262"/>
      <c r="BJ693" s="262"/>
      <c r="BK693" s="262"/>
      <c r="BL693" s="262"/>
      <c r="BM693" s="262"/>
      <c r="BN693" s="262"/>
      <c r="BO693" s="262"/>
      <c r="BP693" s="262"/>
      <c r="BQ693" s="262"/>
      <c r="BR693" s="262"/>
      <c r="BS693" s="262"/>
      <c r="BT693" s="262"/>
      <c r="BU693" s="262"/>
      <c r="BV693" s="262"/>
      <c r="BW693" s="262"/>
      <c r="BX693" s="262"/>
      <c r="BY693" s="262"/>
      <c r="BZ693" s="262"/>
      <c r="CA693" s="262"/>
      <c r="CB693" s="262"/>
      <c r="CC693" s="262"/>
      <c r="CD693" s="262"/>
      <c r="CE693" s="262"/>
      <c r="CF693" s="262"/>
      <c r="CG693" s="262"/>
      <c r="CH693" s="262"/>
      <c r="CI693" s="262"/>
      <c r="CJ693" s="262"/>
      <c r="CK693" s="262"/>
      <c r="CL693" s="262"/>
      <c r="CM693" s="262"/>
      <c r="CN693" s="262"/>
      <c r="CO693" s="262"/>
      <c r="CP693" s="262"/>
      <c r="CQ693" s="262"/>
      <c r="CR693" s="262"/>
      <c r="CS693" s="262"/>
      <c r="CT693" s="262"/>
      <c r="CU693" s="262"/>
      <c r="CV693" s="262"/>
    </row>
    <row r="694" spans="33:100">
      <c r="AG694" s="262"/>
      <c r="AH694" s="262"/>
      <c r="AI694" s="262"/>
      <c r="AJ694" s="262"/>
      <c r="AK694" s="262"/>
      <c r="AL694" s="262"/>
      <c r="AM694" s="262"/>
      <c r="AN694" s="262"/>
      <c r="AO694" s="262"/>
      <c r="AP694" s="262"/>
      <c r="AQ694" s="262"/>
      <c r="AR694" s="262"/>
      <c r="AS694" s="262"/>
      <c r="AT694" s="262"/>
      <c r="AU694" s="262"/>
      <c r="AV694" s="262"/>
      <c r="AW694" s="262"/>
      <c r="AX694" s="262"/>
      <c r="AY694" s="262"/>
      <c r="AZ694" s="262"/>
      <c r="BA694" s="262"/>
      <c r="BB694" s="262"/>
      <c r="BC694" s="262"/>
      <c r="BD694" s="262"/>
      <c r="BE694" s="262"/>
      <c r="BF694" s="262"/>
      <c r="BG694" s="262"/>
      <c r="BH694" s="262"/>
      <c r="BI694" s="262"/>
      <c r="BJ694" s="262"/>
      <c r="BK694" s="262"/>
      <c r="BL694" s="262"/>
      <c r="BM694" s="262"/>
      <c r="BN694" s="262"/>
      <c r="BO694" s="262"/>
      <c r="BP694" s="262"/>
      <c r="BQ694" s="262"/>
      <c r="BR694" s="262"/>
      <c r="BS694" s="262"/>
      <c r="BT694" s="262"/>
      <c r="BU694" s="262"/>
      <c r="BV694" s="262"/>
      <c r="BW694" s="262"/>
      <c r="BX694" s="262"/>
      <c r="BY694" s="262"/>
      <c r="BZ694" s="262"/>
      <c r="CA694" s="262"/>
      <c r="CB694" s="262"/>
      <c r="CC694" s="262"/>
      <c r="CD694" s="262"/>
      <c r="CE694" s="262"/>
      <c r="CF694" s="262"/>
      <c r="CG694" s="262"/>
      <c r="CH694" s="262"/>
      <c r="CI694" s="262"/>
      <c r="CJ694" s="262"/>
      <c r="CK694" s="262"/>
      <c r="CL694" s="262"/>
      <c r="CM694" s="262"/>
      <c r="CN694" s="262"/>
      <c r="CO694" s="262"/>
      <c r="CP694" s="262"/>
      <c r="CQ694" s="262"/>
      <c r="CR694" s="262"/>
      <c r="CS694" s="262"/>
      <c r="CT694" s="262"/>
      <c r="CU694" s="262"/>
      <c r="CV694" s="262"/>
    </row>
    <row r="695" spans="33:100">
      <c r="AG695" s="262"/>
      <c r="AH695" s="262"/>
      <c r="AI695" s="262"/>
      <c r="AJ695" s="262"/>
      <c r="AK695" s="262"/>
      <c r="AL695" s="262"/>
      <c r="AM695" s="262"/>
      <c r="AN695" s="262"/>
      <c r="AO695" s="262"/>
      <c r="AP695" s="262"/>
      <c r="AQ695" s="262"/>
      <c r="AR695" s="262"/>
      <c r="AS695" s="262"/>
      <c r="AT695" s="262"/>
      <c r="AU695" s="262"/>
      <c r="AV695" s="262"/>
      <c r="AW695" s="262"/>
      <c r="AX695" s="262"/>
      <c r="AY695" s="262"/>
      <c r="AZ695" s="262"/>
      <c r="BA695" s="262"/>
      <c r="BB695" s="262"/>
      <c r="BC695" s="262"/>
      <c r="BD695" s="262"/>
      <c r="BE695" s="262"/>
      <c r="BF695" s="262"/>
      <c r="BG695" s="262"/>
      <c r="BH695" s="262"/>
      <c r="BI695" s="262"/>
      <c r="BJ695" s="262"/>
      <c r="BK695" s="262"/>
      <c r="BL695" s="262"/>
      <c r="BM695" s="262"/>
      <c r="BN695" s="262"/>
      <c r="BO695" s="262"/>
      <c r="BP695" s="262"/>
      <c r="BQ695" s="262"/>
      <c r="BR695" s="262"/>
      <c r="BS695" s="262"/>
      <c r="BT695" s="262"/>
      <c r="BU695" s="262"/>
      <c r="BV695" s="262"/>
      <c r="BW695" s="262"/>
      <c r="BX695" s="262"/>
      <c r="BY695" s="262"/>
      <c r="BZ695" s="262"/>
      <c r="CA695" s="262"/>
      <c r="CB695" s="262"/>
      <c r="CC695" s="262"/>
      <c r="CD695" s="262"/>
      <c r="CE695" s="262"/>
      <c r="CF695" s="262"/>
      <c r="CG695" s="262"/>
      <c r="CH695" s="262"/>
      <c r="CI695" s="262"/>
      <c r="CJ695" s="262"/>
      <c r="CK695" s="262"/>
      <c r="CL695" s="262"/>
      <c r="CM695" s="262"/>
      <c r="CN695" s="262"/>
      <c r="CO695" s="262"/>
      <c r="CP695" s="262"/>
      <c r="CQ695" s="262"/>
      <c r="CR695" s="262"/>
      <c r="CS695" s="262"/>
      <c r="CT695" s="262"/>
      <c r="CU695" s="262"/>
      <c r="CV695" s="262"/>
    </row>
    <row r="696" spans="33:100">
      <c r="AG696" s="262"/>
      <c r="AH696" s="262"/>
      <c r="AI696" s="262"/>
      <c r="AJ696" s="262"/>
      <c r="AK696" s="262"/>
      <c r="AL696" s="262"/>
      <c r="AM696" s="262"/>
      <c r="AN696" s="262"/>
      <c r="AO696" s="262"/>
      <c r="AP696" s="262"/>
      <c r="AQ696" s="262"/>
      <c r="AR696" s="262"/>
      <c r="AS696" s="262"/>
      <c r="AT696" s="262"/>
      <c r="AU696" s="262"/>
      <c r="AV696" s="262"/>
      <c r="AW696" s="262"/>
      <c r="AX696" s="262"/>
      <c r="AY696" s="262"/>
      <c r="AZ696" s="262"/>
      <c r="BA696" s="262"/>
      <c r="BB696" s="262"/>
      <c r="BC696" s="262"/>
      <c r="BD696" s="262"/>
      <c r="BE696" s="262"/>
      <c r="BF696" s="262"/>
      <c r="BG696" s="262"/>
      <c r="BH696" s="262"/>
      <c r="BI696" s="262"/>
      <c r="BJ696" s="262"/>
      <c r="BK696" s="262"/>
      <c r="BL696" s="262"/>
      <c r="BM696" s="262"/>
      <c r="BN696" s="262"/>
      <c r="BO696" s="262"/>
      <c r="BP696" s="262"/>
      <c r="BQ696" s="262"/>
      <c r="BR696" s="262"/>
      <c r="BS696" s="262"/>
      <c r="BT696" s="262"/>
      <c r="BU696" s="262"/>
      <c r="BV696" s="262"/>
      <c r="BW696" s="262"/>
      <c r="BX696" s="262"/>
      <c r="BY696" s="262"/>
      <c r="BZ696" s="262"/>
      <c r="CA696" s="262"/>
      <c r="CB696" s="262"/>
      <c r="CC696" s="262"/>
      <c r="CD696" s="262"/>
      <c r="CE696" s="262"/>
      <c r="CF696" s="262"/>
      <c r="CG696" s="262"/>
      <c r="CH696" s="262"/>
      <c r="CI696" s="262"/>
      <c r="CJ696" s="262"/>
      <c r="CK696" s="262"/>
      <c r="CL696" s="262"/>
      <c r="CM696" s="262"/>
      <c r="CN696" s="262"/>
      <c r="CO696" s="262"/>
      <c r="CP696" s="262"/>
      <c r="CQ696" s="262"/>
      <c r="CR696" s="262"/>
      <c r="CS696" s="262"/>
      <c r="CT696" s="262"/>
      <c r="CU696" s="262"/>
      <c r="CV696" s="262"/>
    </row>
    <row r="697" spans="33:100">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262"/>
      <c r="BJ697" s="262"/>
      <c r="BK697" s="262"/>
      <c r="BL697" s="262"/>
      <c r="BM697" s="262"/>
      <c r="BN697" s="262"/>
      <c r="BO697" s="262"/>
      <c r="BP697" s="262"/>
      <c r="BQ697" s="262"/>
      <c r="BR697" s="262"/>
      <c r="BS697" s="262"/>
      <c r="BT697" s="262"/>
      <c r="BU697" s="262"/>
      <c r="BV697" s="262"/>
      <c r="BW697" s="262"/>
      <c r="BX697" s="262"/>
      <c r="BY697" s="262"/>
      <c r="BZ697" s="262"/>
      <c r="CA697" s="262"/>
      <c r="CB697" s="262"/>
      <c r="CC697" s="262"/>
      <c r="CD697" s="262"/>
      <c r="CE697" s="262"/>
      <c r="CF697" s="262"/>
      <c r="CG697" s="262"/>
      <c r="CH697" s="262"/>
      <c r="CI697" s="262"/>
      <c r="CJ697" s="262"/>
      <c r="CK697" s="262"/>
      <c r="CL697" s="262"/>
      <c r="CM697" s="262"/>
      <c r="CN697" s="262"/>
      <c r="CO697" s="262"/>
      <c r="CP697" s="262"/>
      <c r="CQ697" s="262"/>
      <c r="CR697" s="262"/>
      <c r="CS697" s="262"/>
      <c r="CT697" s="262"/>
      <c r="CU697" s="262"/>
      <c r="CV697" s="262"/>
    </row>
    <row r="698" spans="33:100">
      <c r="AG698" s="262"/>
      <c r="AH698" s="262"/>
      <c r="AI698" s="262"/>
      <c r="AJ698" s="262"/>
      <c r="AK698" s="262"/>
      <c r="AL698" s="262"/>
      <c r="AM698" s="262"/>
      <c r="AN698" s="262"/>
      <c r="AO698" s="262"/>
      <c r="AP698" s="262"/>
      <c r="AQ698" s="262"/>
      <c r="AR698" s="262"/>
      <c r="AS698" s="262"/>
      <c r="AT698" s="262"/>
      <c r="AU698" s="262"/>
      <c r="AV698" s="262"/>
      <c r="AW698" s="262"/>
      <c r="AX698" s="262"/>
      <c r="AY698" s="262"/>
      <c r="AZ698" s="262"/>
      <c r="BA698" s="262"/>
      <c r="BB698" s="262"/>
      <c r="BC698" s="262"/>
      <c r="BD698" s="262"/>
      <c r="BE698" s="262"/>
      <c r="BF698" s="262"/>
      <c r="BG698" s="262"/>
      <c r="BH698" s="262"/>
      <c r="BI698" s="262"/>
      <c r="BJ698" s="262"/>
      <c r="BK698" s="262"/>
      <c r="BL698" s="262"/>
      <c r="BM698" s="262"/>
      <c r="BN698" s="262"/>
      <c r="BO698" s="262"/>
      <c r="BP698" s="262"/>
      <c r="BQ698" s="262"/>
      <c r="BR698" s="262"/>
      <c r="BS698" s="262"/>
      <c r="BT698" s="262"/>
      <c r="BU698" s="262"/>
      <c r="BV698" s="262"/>
      <c r="BW698" s="262"/>
      <c r="BX698" s="262"/>
      <c r="BY698" s="262"/>
      <c r="BZ698" s="262"/>
      <c r="CA698" s="262"/>
      <c r="CB698" s="262"/>
      <c r="CC698" s="262"/>
      <c r="CD698" s="262"/>
      <c r="CE698" s="262"/>
      <c r="CF698" s="262"/>
      <c r="CG698" s="262"/>
      <c r="CH698" s="262"/>
      <c r="CI698" s="262"/>
      <c r="CJ698" s="262"/>
      <c r="CK698" s="262"/>
      <c r="CL698" s="262"/>
      <c r="CM698" s="262"/>
      <c r="CN698" s="262"/>
      <c r="CO698" s="262"/>
      <c r="CP698" s="262"/>
      <c r="CQ698" s="262"/>
      <c r="CR698" s="262"/>
      <c r="CS698" s="262"/>
      <c r="CT698" s="262"/>
      <c r="CU698" s="262"/>
      <c r="CV698" s="262"/>
    </row>
    <row r="699" spans="33:100">
      <c r="AG699" s="262"/>
      <c r="AH699" s="262"/>
      <c r="AI699" s="262"/>
      <c r="AJ699" s="262"/>
      <c r="AK699" s="262"/>
      <c r="AL699" s="262"/>
      <c r="AM699" s="262"/>
      <c r="AN699" s="262"/>
      <c r="AO699" s="262"/>
      <c r="AP699" s="262"/>
      <c r="AQ699" s="262"/>
      <c r="AR699" s="262"/>
      <c r="AS699" s="262"/>
      <c r="AT699" s="262"/>
      <c r="AU699" s="262"/>
      <c r="AV699" s="262"/>
      <c r="AW699" s="262"/>
      <c r="AX699" s="262"/>
      <c r="AY699" s="262"/>
      <c r="AZ699" s="262"/>
      <c r="BA699" s="262"/>
      <c r="BB699" s="262"/>
      <c r="BC699" s="262"/>
      <c r="BD699" s="262"/>
      <c r="BE699" s="262"/>
      <c r="BF699" s="262"/>
      <c r="BG699" s="262"/>
      <c r="BH699" s="262"/>
      <c r="BI699" s="262"/>
      <c r="BJ699" s="262"/>
      <c r="BK699" s="262"/>
      <c r="BL699" s="262"/>
      <c r="BM699" s="262"/>
      <c r="BN699" s="262"/>
      <c r="BO699" s="262"/>
      <c r="BP699" s="262"/>
      <c r="BQ699" s="262"/>
      <c r="BR699" s="262"/>
      <c r="BS699" s="262"/>
      <c r="BT699" s="262"/>
      <c r="BU699" s="262"/>
      <c r="BV699" s="262"/>
      <c r="BW699" s="262"/>
      <c r="BX699" s="262"/>
      <c r="BY699" s="262"/>
      <c r="BZ699" s="262"/>
      <c r="CA699" s="262"/>
      <c r="CB699" s="262"/>
      <c r="CC699" s="262"/>
      <c r="CD699" s="262"/>
      <c r="CE699" s="262"/>
      <c r="CF699" s="262"/>
      <c r="CG699" s="262"/>
      <c r="CH699" s="262"/>
      <c r="CI699" s="262"/>
      <c r="CJ699" s="262"/>
      <c r="CK699" s="262"/>
      <c r="CL699" s="262"/>
      <c r="CM699" s="262"/>
      <c r="CN699" s="262"/>
      <c r="CO699" s="262"/>
      <c r="CP699" s="262"/>
      <c r="CQ699" s="262"/>
      <c r="CR699" s="262"/>
      <c r="CS699" s="262"/>
      <c r="CT699" s="262"/>
      <c r="CU699" s="262"/>
      <c r="CV699" s="262"/>
    </row>
    <row r="700" spans="33:100">
      <c r="AG700" s="262"/>
      <c r="AH700" s="262"/>
      <c r="AI700" s="262"/>
      <c r="AJ700" s="262"/>
      <c r="AK700" s="262"/>
      <c r="AL700" s="262"/>
      <c r="AM700" s="262"/>
      <c r="AN700" s="262"/>
      <c r="AO700" s="262"/>
      <c r="AP700" s="262"/>
      <c r="AQ700" s="262"/>
      <c r="AR700" s="262"/>
      <c r="AS700" s="262"/>
      <c r="AT700" s="262"/>
      <c r="AU700" s="262"/>
      <c r="AV700" s="262"/>
      <c r="AW700" s="262"/>
      <c r="AX700" s="262"/>
      <c r="AY700" s="262"/>
      <c r="AZ700" s="262"/>
      <c r="BA700" s="262"/>
      <c r="BB700" s="262"/>
      <c r="BC700" s="262"/>
      <c r="BD700" s="262"/>
      <c r="BE700" s="262"/>
      <c r="BF700" s="262"/>
      <c r="BG700" s="262"/>
      <c r="BH700" s="262"/>
      <c r="BI700" s="262"/>
      <c r="BJ700" s="262"/>
      <c r="BK700" s="262"/>
      <c r="BL700" s="262"/>
      <c r="BM700" s="262"/>
      <c r="BN700" s="262"/>
      <c r="BO700" s="262"/>
      <c r="BP700" s="262"/>
      <c r="BQ700" s="262"/>
      <c r="BR700" s="262"/>
      <c r="BS700" s="262"/>
      <c r="BT700" s="262"/>
      <c r="BU700" s="262"/>
      <c r="BV700" s="262"/>
      <c r="BW700" s="262"/>
      <c r="BX700" s="262"/>
      <c r="BY700" s="262"/>
      <c r="BZ700" s="262"/>
      <c r="CA700" s="262"/>
      <c r="CB700" s="262"/>
      <c r="CC700" s="262"/>
      <c r="CD700" s="262"/>
      <c r="CE700" s="262"/>
      <c r="CF700" s="262"/>
      <c r="CG700" s="262"/>
      <c r="CH700" s="262"/>
      <c r="CI700" s="262"/>
      <c r="CJ700" s="262"/>
      <c r="CK700" s="262"/>
      <c r="CL700" s="262"/>
      <c r="CM700" s="262"/>
      <c r="CN700" s="262"/>
      <c r="CO700" s="262"/>
      <c r="CP700" s="262"/>
      <c r="CQ700" s="262"/>
      <c r="CR700" s="262"/>
      <c r="CS700" s="262"/>
      <c r="CT700" s="262"/>
      <c r="CU700" s="262"/>
      <c r="CV700" s="262"/>
    </row>
    <row r="701" spans="33:100">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262"/>
      <c r="BJ701" s="262"/>
      <c r="BK701" s="262"/>
      <c r="BL701" s="262"/>
      <c r="BM701" s="262"/>
      <c r="BN701" s="262"/>
      <c r="BO701" s="262"/>
      <c r="BP701" s="262"/>
      <c r="BQ701" s="262"/>
      <c r="BR701" s="262"/>
      <c r="BS701" s="262"/>
      <c r="BT701" s="262"/>
      <c r="BU701" s="262"/>
      <c r="BV701" s="262"/>
      <c r="BW701" s="262"/>
      <c r="BX701" s="262"/>
      <c r="BY701" s="262"/>
      <c r="BZ701" s="262"/>
      <c r="CA701" s="262"/>
      <c r="CB701" s="262"/>
      <c r="CC701" s="262"/>
      <c r="CD701" s="262"/>
      <c r="CE701" s="262"/>
      <c r="CF701" s="262"/>
      <c r="CG701" s="262"/>
      <c r="CH701" s="262"/>
      <c r="CI701" s="262"/>
      <c r="CJ701" s="262"/>
      <c r="CK701" s="262"/>
      <c r="CL701" s="262"/>
      <c r="CM701" s="262"/>
      <c r="CN701" s="262"/>
      <c r="CO701" s="262"/>
      <c r="CP701" s="262"/>
      <c r="CQ701" s="262"/>
      <c r="CR701" s="262"/>
      <c r="CS701" s="262"/>
      <c r="CT701" s="262"/>
      <c r="CU701" s="262"/>
      <c r="CV701" s="262"/>
    </row>
    <row r="702" spans="33:100">
      <c r="AG702" s="262"/>
      <c r="AH702" s="262"/>
      <c r="AI702" s="262"/>
      <c r="AJ702" s="262"/>
      <c r="AK702" s="262"/>
      <c r="AL702" s="262"/>
      <c r="AM702" s="262"/>
      <c r="AN702" s="262"/>
      <c r="AO702" s="262"/>
      <c r="AP702" s="262"/>
      <c r="AQ702" s="262"/>
      <c r="AR702" s="262"/>
      <c r="AS702" s="262"/>
      <c r="AT702" s="262"/>
      <c r="AU702" s="262"/>
      <c r="AV702" s="262"/>
      <c r="AW702" s="262"/>
      <c r="AX702" s="262"/>
      <c r="AY702" s="262"/>
      <c r="AZ702" s="262"/>
      <c r="BA702" s="262"/>
      <c r="BB702" s="262"/>
      <c r="BC702" s="262"/>
      <c r="BD702" s="262"/>
      <c r="BE702" s="262"/>
      <c r="BF702" s="262"/>
      <c r="BG702" s="262"/>
      <c r="BH702" s="262"/>
      <c r="BI702" s="262"/>
      <c r="BJ702" s="262"/>
      <c r="BK702" s="262"/>
      <c r="BL702" s="262"/>
      <c r="BM702" s="262"/>
      <c r="BN702" s="262"/>
      <c r="BO702" s="262"/>
      <c r="BP702" s="262"/>
      <c r="BQ702" s="262"/>
      <c r="BR702" s="262"/>
      <c r="BS702" s="262"/>
      <c r="BT702" s="262"/>
      <c r="BU702" s="262"/>
      <c r="BV702" s="262"/>
      <c r="BW702" s="262"/>
      <c r="BX702" s="262"/>
      <c r="BY702" s="262"/>
      <c r="BZ702" s="262"/>
      <c r="CA702" s="262"/>
      <c r="CB702" s="262"/>
      <c r="CC702" s="262"/>
      <c r="CD702" s="262"/>
      <c r="CE702" s="262"/>
      <c r="CF702" s="262"/>
      <c r="CG702" s="262"/>
      <c r="CH702" s="262"/>
      <c r="CI702" s="262"/>
      <c r="CJ702" s="262"/>
      <c r="CK702" s="262"/>
      <c r="CL702" s="262"/>
      <c r="CM702" s="262"/>
      <c r="CN702" s="262"/>
      <c r="CO702" s="262"/>
      <c r="CP702" s="262"/>
      <c r="CQ702" s="262"/>
      <c r="CR702" s="262"/>
      <c r="CS702" s="262"/>
      <c r="CT702" s="262"/>
      <c r="CU702" s="262"/>
      <c r="CV702" s="262"/>
    </row>
    <row r="703" spans="33:100">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262"/>
      <c r="BJ703" s="262"/>
      <c r="BK703" s="262"/>
      <c r="BL703" s="262"/>
      <c r="BM703" s="262"/>
      <c r="BN703" s="262"/>
      <c r="BO703" s="262"/>
      <c r="BP703" s="262"/>
      <c r="BQ703" s="262"/>
      <c r="BR703" s="262"/>
      <c r="BS703" s="262"/>
      <c r="BT703" s="262"/>
      <c r="BU703" s="262"/>
      <c r="BV703" s="262"/>
      <c r="BW703" s="262"/>
      <c r="BX703" s="262"/>
      <c r="BY703" s="262"/>
      <c r="BZ703" s="262"/>
      <c r="CA703" s="262"/>
      <c r="CB703" s="262"/>
      <c r="CC703" s="262"/>
      <c r="CD703" s="262"/>
      <c r="CE703" s="262"/>
      <c r="CF703" s="262"/>
      <c r="CG703" s="262"/>
      <c r="CH703" s="262"/>
      <c r="CI703" s="262"/>
      <c r="CJ703" s="262"/>
      <c r="CK703" s="262"/>
      <c r="CL703" s="262"/>
      <c r="CM703" s="262"/>
      <c r="CN703" s="262"/>
      <c r="CO703" s="262"/>
      <c r="CP703" s="262"/>
      <c r="CQ703" s="262"/>
      <c r="CR703" s="262"/>
      <c r="CS703" s="262"/>
      <c r="CT703" s="262"/>
      <c r="CU703" s="262"/>
      <c r="CV703" s="262"/>
    </row>
    <row r="704" spans="33:100">
      <c r="AG704" s="262"/>
      <c r="AH704" s="262"/>
      <c r="AI704" s="262"/>
      <c r="AJ704" s="262"/>
      <c r="AK704" s="262"/>
      <c r="AL704" s="262"/>
      <c r="AM704" s="262"/>
      <c r="AN704" s="262"/>
      <c r="AO704" s="262"/>
      <c r="AP704" s="262"/>
      <c r="AQ704" s="262"/>
      <c r="AR704" s="262"/>
      <c r="AS704" s="262"/>
      <c r="AT704" s="262"/>
      <c r="AU704" s="262"/>
      <c r="AV704" s="262"/>
      <c r="AW704" s="262"/>
      <c r="AX704" s="262"/>
      <c r="AY704" s="262"/>
      <c r="AZ704" s="262"/>
      <c r="BA704" s="262"/>
      <c r="BB704" s="262"/>
      <c r="BC704" s="262"/>
      <c r="BD704" s="262"/>
      <c r="BE704" s="262"/>
      <c r="BF704" s="262"/>
      <c r="BG704" s="262"/>
      <c r="BH704" s="262"/>
      <c r="BI704" s="262"/>
      <c r="BJ704" s="262"/>
      <c r="BK704" s="262"/>
      <c r="BL704" s="262"/>
      <c r="BM704" s="262"/>
      <c r="BN704" s="262"/>
      <c r="BO704" s="262"/>
      <c r="BP704" s="262"/>
      <c r="BQ704" s="262"/>
      <c r="BR704" s="262"/>
      <c r="BS704" s="262"/>
      <c r="BT704" s="262"/>
      <c r="BU704" s="262"/>
      <c r="BV704" s="262"/>
      <c r="BW704" s="262"/>
      <c r="BX704" s="262"/>
      <c r="BY704" s="262"/>
      <c r="BZ704" s="262"/>
      <c r="CA704" s="262"/>
      <c r="CB704" s="262"/>
      <c r="CC704" s="262"/>
      <c r="CD704" s="262"/>
      <c r="CE704" s="262"/>
      <c r="CF704" s="262"/>
      <c r="CG704" s="262"/>
      <c r="CH704" s="262"/>
      <c r="CI704" s="262"/>
      <c r="CJ704" s="262"/>
      <c r="CK704" s="262"/>
      <c r="CL704" s="262"/>
      <c r="CM704" s="262"/>
      <c r="CN704" s="262"/>
      <c r="CO704" s="262"/>
      <c r="CP704" s="262"/>
      <c r="CQ704" s="262"/>
      <c r="CR704" s="262"/>
      <c r="CS704" s="262"/>
      <c r="CT704" s="262"/>
      <c r="CU704" s="262"/>
      <c r="CV704" s="262"/>
    </row>
    <row r="705" spans="33:100">
      <c r="AG705" s="262"/>
      <c r="AH705" s="262"/>
      <c r="AI705" s="262"/>
      <c r="AJ705" s="262"/>
      <c r="AK705" s="262"/>
      <c r="AL705" s="262"/>
      <c r="AM705" s="262"/>
      <c r="AN705" s="262"/>
      <c r="AO705" s="262"/>
      <c r="AP705" s="262"/>
      <c r="AQ705" s="262"/>
      <c r="AR705" s="262"/>
      <c r="AS705" s="262"/>
      <c r="AT705" s="262"/>
      <c r="AU705" s="262"/>
      <c r="AV705" s="262"/>
      <c r="AW705" s="262"/>
      <c r="AX705" s="262"/>
      <c r="AY705" s="262"/>
      <c r="AZ705" s="262"/>
      <c r="BA705" s="262"/>
      <c r="BB705" s="262"/>
      <c r="BC705" s="262"/>
      <c r="BD705" s="262"/>
      <c r="BE705" s="262"/>
      <c r="BF705" s="262"/>
      <c r="BG705" s="262"/>
      <c r="BH705" s="262"/>
      <c r="BI705" s="262"/>
      <c r="BJ705" s="262"/>
      <c r="BK705" s="262"/>
      <c r="BL705" s="262"/>
      <c r="BM705" s="262"/>
      <c r="BN705" s="262"/>
      <c r="BO705" s="262"/>
      <c r="BP705" s="262"/>
      <c r="BQ705" s="262"/>
      <c r="BR705" s="262"/>
      <c r="BS705" s="262"/>
      <c r="BT705" s="262"/>
      <c r="BU705" s="262"/>
      <c r="BV705" s="262"/>
      <c r="BW705" s="262"/>
      <c r="BX705" s="262"/>
      <c r="BY705" s="262"/>
      <c r="BZ705" s="262"/>
      <c r="CA705" s="262"/>
      <c r="CB705" s="262"/>
      <c r="CC705" s="262"/>
      <c r="CD705" s="262"/>
      <c r="CE705" s="262"/>
      <c r="CF705" s="262"/>
      <c r="CG705" s="262"/>
      <c r="CH705" s="262"/>
      <c r="CI705" s="262"/>
      <c r="CJ705" s="262"/>
      <c r="CK705" s="262"/>
      <c r="CL705" s="262"/>
      <c r="CM705" s="262"/>
      <c r="CN705" s="262"/>
      <c r="CO705" s="262"/>
      <c r="CP705" s="262"/>
      <c r="CQ705" s="262"/>
      <c r="CR705" s="262"/>
      <c r="CS705" s="262"/>
      <c r="CT705" s="262"/>
      <c r="CU705" s="262"/>
      <c r="CV705" s="262"/>
    </row>
    <row r="706" spans="33:100">
      <c r="AG706" s="262"/>
      <c r="AH706" s="262"/>
      <c r="AI706" s="262"/>
      <c r="AJ706" s="262"/>
      <c r="AK706" s="262"/>
      <c r="AL706" s="262"/>
      <c r="AM706" s="262"/>
      <c r="AN706" s="262"/>
      <c r="AO706" s="262"/>
      <c r="AP706" s="262"/>
      <c r="AQ706" s="262"/>
      <c r="AR706" s="262"/>
      <c r="AS706" s="262"/>
      <c r="AT706" s="262"/>
      <c r="AU706" s="262"/>
      <c r="AV706" s="262"/>
      <c r="AW706" s="262"/>
      <c r="AX706" s="262"/>
      <c r="AY706" s="262"/>
      <c r="AZ706" s="262"/>
      <c r="BA706" s="262"/>
      <c r="BB706" s="262"/>
      <c r="BC706" s="262"/>
      <c r="BD706" s="262"/>
      <c r="BE706" s="262"/>
      <c r="BF706" s="262"/>
      <c r="BG706" s="262"/>
      <c r="BH706" s="262"/>
      <c r="BI706" s="262"/>
      <c r="BJ706" s="262"/>
      <c r="BK706" s="262"/>
      <c r="BL706" s="262"/>
      <c r="BM706" s="262"/>
      <c r="BN706" s="262"/>
      <c r="BO706" s="262"/>
      <c r="BP706" s="262"/>
      <c r="BQ706" s="262"/>
      <c r="BR706" s="262"/>
      <c r="BS706" s="262"/>
      <c r="BT706" s="262"/>
      <c r="BU706" s="262"/>
      <c r="BV706" s="262"/>
      <c r="BW706" s="262"/>
      <c r="BX706" s="262"/>
      <c r="BY706" s="262"/>
      <c r="BZ706" s="262"/>
      <c r="CA706" s="262"/>
      <c r="CB706" s="262"/>
      <c r="CC706" s="262"/>
      <c r="CD706" s="262"/>
      <c r="CE706" s="262"/>
      <c r="CF706" s="262"/>
      <c r="CG706" s="262"/>
      <c r="CH706" s="262"/>
      <c r="CI706" s="262"/>
      <c r="CJ706" s="262"/>
      <c r="CK706" s="262"/>
      <c r="CL706" s="262"/>
      <c r="CM706" s="262"/>
      <c r="CN706" s="262"/>
      <c r="CO706" s="262"/>
      <c r="CP706" s="262"/>
      <c r="CQ706" s="262"/>
      <c r="CR706" s="262"/>
      <c r="CS706" s="262"/>
      <c r="CT706" s="262"/>
      <c r="CU706" s="262"/>
      <c r="CV706" s="262"/>
    </row>
    <row r="707" spans="33:100">
      <c r="AG707" s="262"/>
      <c r="AH707" s="262"/>
      <c r="AI707" s="262"/>
      <c r="AJ707" s="262"/>
      <c r="AK707" s="262"/>
      <c r="AL707" s="262"/>
      <c r="AM707" s="262"/>
      <c r="AN707" s="262"/>
      <c r="AO707" s="262"/>
      <c r="AP707" s="262"/>
      <c r="AQ707" s="262"/>
      <c r="AR707" s="262"/>
      <c r="AS707" s="262"/>
      <c r="AT707" s="262"/>
      <c r="AU707" s="262"/>
      <c r="AV707" s="262"/>
      <c r="AW707" s="262"/>
      <c r="AX707" s="262"/>
      <c r="AY707" s="262"/>
      <c r="AZ707" s="262"/>
      <c r="BA707" s="262"/>
      <c r="BB707" s="262"/>
      <c r="BC707" s="262"/>
      <c r="BD707" s="262"/>
      <c r="BE707" s="262"/>
      <c r="BF707" s="262"/>
      <c r="BG707" s="262"/>
      <c r="BH707" s="262"/>
      <c r="BI707" s="262"/>
      <c r="BJ707" s="262"/>
      <c r="BK707" s="262"/>
      <c r="BL707" s="262"/>
      <c r="BM707" s="262"/>
      <c r="BN707" s="262"/>
      <c r="BO707" s="262"/>
      <c r="BP707" s="262"/>
      <c r="BQ707" s="262"/>
      <c r="BR707" s="262"/>
      <c r="BS707" s="262"/>
      <c r="BT707" s="262"/>
      <c r="BU707" s="262"/>
      <c r="BV707" s="262"/>
      <c r="BW707" s="262"/>
      <c r="BX707" s="262"/>
      <c r="BY707" s="262"/>
      <c r="BZ707" s="262"/>
      <c r="CA707" s="262"/>
      <c r="CB707" s="262"/>
      <c r="CC707" s="262"/>
      <c r="CD707" s="262"/>
      <c r="CE707" s="262"/>
      <c r="CF707" s="262"/>
      <c r="CG707" s="262"/>
      <c r="CH707" s="262"/>
      <c r="CI707" s="262"/>
      <c r="CJ707" s="262"/>
      <c r="CK707" s="262"/>
      <c r="CL707" s="262"/>
      <c r="CM707" s="262"/>
      <c r="CN707" s="262"/>
      <c r="CO707" s="262"/>
      <c r="CP707" s="262"/>
      <c r="CQ707" s="262"/>
      <c r="CR707" s="262"/>
      <c r="CS707" s="262"/>
      <c r="CT707" s="262"/>
      <c r="CU707" s="262"/>
      <c r="CV707" s="262"/>
    </row>
    <row r="708" spans="33:100">
      <c r="AG708" s="262"/>
      <c r="AH708" s="262"/>
      <c r="AI708" s="262"/>
      <c r="AJ708" s="262"/>
      <c r="AK708" s="262"/>
      <c r="AL708" s="262"/>
      <c r="AM708" s="262"/>
      <c r="AN708" s="262"/>
      <c r="AO708" s="262"/>
      <c r="AP708" s="262"/>
      <c r="AQ708" s="262"/>
      <c r="AR708" s="262"/>
      <c r="AS708" s="262"/>
      <c r="AT708" s="262"/>
      <c r="AU708" s="262"/>
      <c r="AV708" s="262"/>
      <c r="AW708" s="262"/>
      <c r="AX708" s="262"/>
      <c r="AY708" s="262"/>
      <c r="AZ708" s="262"/>
      <c r="BA708" s="262"/>
      <c r="BB708" s="262"/>
      <c r="BC708" s="262"/>
      <c r="BD708" s="262"/>
      <c r="BE708" s="262"/>
      <c r="BF708" s="262"/>
      <c r="BG708" s="262"/>
      <c r="BH708" s="262"/>
      <c r="BI708" s="262"/>
      <c r="BJ708" s="262"/>
      <c r="BK708" s="262"/>
      <c r="BL708" s="262"/>
      <c r="BM708" s="262"/>
      <c r="BN708" s="262"/>
      <c r="BO708" s="262"/>
      <c r="BP708" s="262"/>
      <c r="BQ708" s="262"/>
      <c r="BR708" s="262"/>
      <c r="BS708" s="262"/>
      <c r="BT708" s="262"/>
      <c r="BU708" s="262"/>
      <c r="BV708" s="262"/>
      <c r="BW708" s="262"/>
      <c r="BX708" s="262"/>
      <c r="BY708" s="262"/>
      <c r="BZ708" s="262"/>
      <c r="CA708" s="262"/>
      <c r="CB708" s="262"/>
      <c r="CC708" s="262"/>
      <c r="CD708" s="262"/>
      <c r="CE708" s="262"/>
      <c r="CF708" s="262"/>
      <c r="CG708" s="262"/>
      <c r="CH708" s="262"/>
      <c r="CI708" s="262"/>
      <c r="CJ708" s="262"/>
      <c r="CK708" s="262"/>
      <c r="CL708" s="262"/>
      <c r="CM708" s="262"/>
      <c r="CN708" s="262"/>
      <c r="CO708" s="262"/>
      <c r="CP708" s="262"/>
      <c r="CQ708" s="262"/>
      <c r="CR708" s="262"/>
      <c r="CS708" s="262"/>
      <c r="CT708" s="262"/>
      <c r="CU708" s="262"/>
      <c r="CV708" s="262"/>
    </row>
    <row r="709" spans="33:100">
      <c r="AG709" s="262"/>
      <c r="AH709" s="262"/>
      <c r="AI709" s="262"/>
      <c r="AJ709" s="262"/>
      <c r="AK709" s="262"/>
      <c r="AL709" s="262"/>
      <c r="AM709" s="262"/>
      <c r="AN709" s="262"/>
      <c r="AO709" s="262"/>
      <c r="AP709" s="262"/>
      <c r="AQ709" s="262"/>
      <c r="AR709" s="262"/>
      <c r="AS709" s="262"/>
      <c r="AT709" s="262"/>
      <c r="AU709" s="262"/>
      <c r="AV709" s="262"/>
      <c r="AW709" s="262"/>
      <c r="AX709" s="262"/>
      <c r="AY709" s="262"/>
      <c r="AZ709" s="262"/>
      <c r="BA709" s="262"/>
      <c r="BB709" s="262"/>
      <c r="BC709" s="262"/>
      <c r="BD709" s="262"/>
      <c r="BE709" s="262"/>
      <c r="BF709" s="262"/>
      <c r="BG709" s="262"/>
      <c r="BH709" s="262"/>
      <c r="BI709" s="262"/>
      <c r="BJ709" s="262"/>
      <c r="BK709" s="262"/>
      <c r="BL709" s="262"/>
      <c r="BM709" s="262"/>
      <c r="BN709" s="262"/>
      <c r="BO709" s="262"/>
      <c r="BP709" s="262"/>
      <c r="BQ709" s="262"/>
      <c r="BR709" s="262"/>
      <c r="BS709" s="262"/>
      <c r="BT709" s="262"/>
      <c r="BU709" s="262"/>
      <c r="BV709" s="262"/>
      <c r="BW709" s="262"/>
      <c r="BX709" s="262"/>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c r="CU709" s="262"/>
      <c r="CV709" s="262"/>
    </row>
    <row r="710" spans="33:100">
      <c r="AG710" s="262"/>
      <c r="AH710" s="262"/>
      <c r="AI710" s="262"/>
      <c r="AJ710" s="262"/>
      <c r="AK710" s="262"/>
      <c r="AL710" s="262"/>
      <c r="AM710" s="262"/>
      <c r="AN710" s="262"/>
      <c r="AO710" s="262"/>
      <c r="AP710" s="262"/>
      <c r="AQ710" s="262"/>
      <c r="AR710" s="262"/>
      <c r="AS710" s="262"/>
      <c r="AT710" s="262"/>
      <c r="AU710" s="262"/>
      <c r="AV710" s="262"/>
      <c r="AW710" s="262"/>
      <c r="AX710" s="262"/>
      <c r="AY710" s="262"/>
      <c r="AZ710" s="262"/>
      <c r="BA710" s="262"/>
      <c r="BB710" s="262"/>
      <c r="BC710" s="262"/>
      <c r="BD710" s="262"/>
      <c r="BE710" s="262"/>
      <c r="BF710" s="262"/>
      <c r="BG710" s="262"/>
      <c r="BH710" s="262"/>
      <c r="BI710" s="262"/>
      <c r="BJ710" s="262"/>
      <c r="BK710" s="262"/>
      <c r="BL710" s="262"/>
      <c r="BM710" s="262"/>
      <c r="BN710" s="262"/>
      <c r="BO710" s="262"/>
      <c r="BP710" s="262"/>
      <c r="BQ710" s="262"/>
      <c r="BR710" s="262"/>
      <c r="BS710" s="262"/>
      <c r="BT710" s="262"/>
      <c r="BU710" s="262"/>
      <c r="BV710" s="262"/>
      <c r="BW710" s="262"/>
      <c r="BX710" s="262"/>
      <c r="BY710" s="262"/>
      <c r="BZ710" s="262"/>
      <c r="CA710" s="262"/>
      <c r="CB710" s="262"/>
      <c r="CC710" s="262"/>
      <c r="CD710" s="262"/>
      <c r="CE710" s="262"/>
      <c r="CF710" s="262"/>
      <c r="CG710" s="262"/>
      <c r="CH710" s="262"/>
      <c r="CI710" s="262"/>
      <c r="CJ710" s="262"/>
      <c r="CK710" s="262"/>
      <c r="CL710" s="262"/>
      <c r="CM710" s="262"/>
      <c r="CN710" s="262"/>
      <c r="CO710" s="262"/>
      <c r="CP710" s="262"/>
      <c r="CQ710" s="262"/>
      <c r="CR710" s="262"/>
      <c r="CS710" s="262"/>
      <c r="CT710" s="262"/>
      <c r="CU710" s="262"/>
      <c r="CV710" s="262"/>
    </row>
    <row r="711" spans="33:100">
      <c r="AG711" s="262"/>
      <c r="AH711" s="262"/>
      <c r="AI711" s="262"/>
      <c r="AJ711" s="262"/>
      <c r="AK711" s="262"/>
      <c r="AL711" s="262"/>
      <c r="AM711" s="262"/>
      <c r="AN711" s="262"/>
      <c r="AO711" s="262"/>
      <c r="AP711" s="262"/>
      <c r="AQ711" s="262"/>
      <c r="AR711" s="262"/>
      <c r="AS711" s="262"/>
      <c r="AT711" s="262"/>
      <c r="AU711" s="262"/>
      <c r="AV711" s="262"/>
      <c r="AW711" s="262"/>
      <c r="AX711" s="262"/>
      <c r="AY711" s="262"/>
      <c r="AZ711" s="262"/>
      <c r="BA711" s="262"/>
      <c r="BB711" s="262"/>
      <c r="BC711" s="262"/>
      <c r="BD711" s="262"/>
      <c r="BE711" s="262"/>
      <c r="BF711" s="262"/>
      <c r="BG711" s="262"/>
      <c r="BH711" s="262"/>
      <c r="BI711" s="262"/>
      <c r="BJ711" s="262"/>
      <c r="BK711" s="262"/>
      <c r="BL711" s="262"/>
      <c r="BM711" s="262"/>
      <c r="BN711" s="262"/>
      <c r="BO711" s="262"/>
      <c r="BP711" s="262"/>
      <c r="BQ711" s="262"/>
      <c r="BR711" s="262"/>
      <c r="BS711" s="262"/>
      <c r="BT711" s="262"/>
      <c r="BU711" s="262"/>
      <c r="BV711" s="262"/>
      <c r="BW711" s="262"/>
      <c r="BX711" s="262"/>
      <c r="BY711" s="262"/>
      <c r="BZ711" s="262"/>
      <c r="CA711" s="262"/>
      <c r="CB711" s="262"/>
      <c r="CC711" s="262"/>
      <c r="CD711" s="262"/>
      <c r="CE711" s="262"/>
      <c r="CF711" s="262"/>
      <c r="CG711" s="262"/>
      <c r="CH711" s="262"/>
      <c r="CI711" s="262"/>
      <c r="CJ711" s="262"/>
      <c r="CK711" s="262"/>
      <c r="CL711" s="262"/>
      <c r="CM711" s="262"/>
      <c r="CN711" s="262"/>
      <c r="CO711" s="262"/>
      <c r="CP711" s="262"/>
      <c r="CQ711" s="262"/>
      <c r="CR711" s="262"/>
      <c r="CS711" s="262"/>
      <c r="CT711" s="262"/>
      <c r="CU711" s="262"/>
      <c r="CV711" s="262"/>
    </row>
    <row r="712" spans="33:100">
      <c r="AG712" s="262"/>
      <c r="AH712" s="262"/>
      <c r="AI712" s="262"/>
      <c r="AJ712" s="262"/>
      <c r="AK712" s="262"/>
      <c r="AL712" s="262"/>
      <c r="AM712" s="262"/>
      <c r="AN712" s="262"/>
      <c r="AO712" s="262"/>
      <c r="AP712" s="262"/>
      <c r="AQ712" s="262"/>
      <c r="AR712" s="262"/>
      <c r="AS712" s="262"/>
      <c r="AT712" s="262"/>
      <c r="AU712" s="262"/>
      <c r="AV712" s="262"/>
      <c r="AW712" s="262"/>
      <c r="AX712" s="262"/>
      <c r="AY712" s="262"/>
      <c r="AZ712" s="262"/>
      <c r="BA712" s="262"/>
      <c r="BB712" s="262"/>
      <c r="BC712" s="262"/>
      <c r="BD712" s="262"/>
      <c r="BE712" s="262"/>
      <c r="BF712" s="262"/>
      <c r="BG712" s="262"/>
      <c r="BH712" s="262"/>
      <c r="BI712" s="262"/>
      <c r="BJ712" s="262"/>
      <c r="BK712" s="262"/>
      <c r="BL712" s="262"/>
      <c r="BM712" s="262"/>
      <c r="BN712" s="262"/>
      <c r="BO712" s="262"/>
      <c r="BP712" s="262"/>
      <c r="BQ712" s="262"/>
      <c r="BR712" s="262"/>
      <c r="BS712" s="262"/>
      <c r="BT712" s="262"/>
      <c r="BU712" s="262"/>
      <c r="BV712" s="262"/>
      <c r="BW712" s="262"/>
      <c r="BX712" s="262"/>
      <c r="BY712" s="262"/>
      <c r="BZ712" s="262"/>
      <c r="CA712" s="262"/>
      <c r="CB712" s="262"/>
      <c r="CC712" s="262"/>
      <c r="CD712" s="262"/>
      <c r="CE712" s="262"/>
      <c r="CF712" s="262"/>
      <c r="CG712" s="262"/>
      <c r="CH712" s="262"/>
      <c r="CI712" s="262"/>
      <c r="CJ712" s="262"/>
      <c r="CK712" s="262"/>
      <c r="CL712" s="262"/>
      <c r="CM712" s="262"/>
      <c r="CN712" s="262"/>
      <c r="CO712" s="262"/>
      <c r="CP712" s="262"/>
      <c r="CQ712" s="262"/>
      <c r="CR712" s="262"/>
      <c r="CS712" s="262"/>
      <c r="CT712" s="262"/>
      <c r="CU712" s="262"/>
      <c r="CV712" s="262"/>
    </row>
    <row r="713" spans="33:100">
      <c r="AG713" s="262"/>
      <c r="AH713" s="262"/>
      <c r="AI713" s="262"/>
      <c r="AJ713" s="262"/>
      <c r="AK713" s="262"/>
      <c r="AL713" s="262"/>
      <c r="AM713" s="262"/>
      <c r="AN713" s="262"/>
      <c r="AO713" s="262"/>
      <c r="AP713" s="262"/>
      <c r="AQ713" s="262"/>
      <c r="AR713" s="262"/>
      <c r="AS713" s="262"/>
      <c r="AT713" s="262"/>
      <c r="AU713" s="262"/>
      <c r="AV713" s="262"/>
      <c r="AW713" s="262"/>
      <c r="AX713" s="262"/>
      <c r="AY713" s="262"/>
      <c r="AZ713" s="262"/>
      <c r="BA713" s="262"/>
      <c r="BB713" s="262"/>
      <c r="BC713" s="262"/>
      <c r="BD713" s="262"/>
      <c r="BE713" s="262"/>
      <c r="BF713" s="262"/>
      <c r="BG713" s="262"/>
      <c r="BH713" s="262"/>
      <c r="BI713" s="262"/>
      <c r="BJ713" s="262"/>
      <c r="BK713" s="262"/>
      <c r="BL713" s="262"/>
      <c r="BM713" s="262"/>
      <c r="BN713" s="262"/>
      <c r="BO713" s="262"/>
      <c r="BP713" s="262"/>
      <c r="BQ713" s="262"/>
      <c r="BR713" s="262"/>
      <c r="BS713" s="262"/>
      <c r="BT713" s="262"/>
      <c r="BU713" s="262"/>
      <c r="BV713" s="262"/>
      <c r="BW713" s="262"/>
      <c r="BX713" s="262"/>
      <c r="BY713" s="262"/>
      <c r="BZ713" s="262"/>
      <c r="CA713" s="262"/>
      <c r="CB713" s="262"/>
      <c r="CC713" s="262"/>
      <c r="CD713" s="262"/>
      <c r="CE713" s="262"/>
      <c r="CF713" s="262"/>
      <c r="CG713" s="262"/>
      <c r="CH713" s="262"/>
      <c r="CI713" s="262"/>
      <c r="CJ713" s="262"/>
      <c r="CK713" s="262"/>
      <c r="CL713" s="262"/>
      <c r="CM713" s="262"/>
      <c r="CN713" s="262"/>
      <c r="CO713" s="262"/>
      <c r="CP713" s="262"/>
      <c r="CQ713" s="262"/>
      <c r="CR713" s="262"/>
      <c r="CS713" s="262"/>
      <c r="CT713" s="262"/>
      <c r="CU713" s="262"/>
      <c r="CV713" s="262"/>
    </row>
    <row r="714" spans="33:100">
      <c r="AG714" s="262"/>
      <c r="AH714" s="262"/>
      <c r="AI714" s="262"/>
      <c r="AJ714" s="262"/>
      <c r="AK714" s="262"/>
      <c r="AL714" s="262"/>
      <c r="AM714" s="262"/>
      <c r="AN714" s="262"/>
      <c r="AO714" s="262"/>
      <c r="AP714" s="262"/>
      <c r="AQ714" s="262"/>
      <c r="AR714" s="262"/>
      <c r="AS714" s="262"/>
      <c r="AT714" s="262"/>
      <c r="AU714" s="262"/>
      <c r="AV714" s="262"/>
      <c r="AW714" s="262"/>
      <c r="AX714" s="262"/>
      <c r="AY714" s="262"/>
      <c r="AZ714" s="262"/>
      <c r="BA714" s="262"/>
      <c r="BB714" s="262"/>
      <c r="BC714" s="262"/>
      <c r="BD714" s="262"/>
      <c r="BE714" s="262"/>
      <c r="BF714" s="262"/>
      <c r="BG714" s="262"/>
      <c r="BH714" s="262"/>
      <c r="BI714" s="262"/>
      <c r="BJ714" s="262"/>
      <c r="BK714" s="262"/>
      <c r="BL714" s="262"/>
      <c r="BM714" s="262"/>
      <c r="BN714" s="262"/>
      <c r="BO714" s="262"/>
      <c r="BP714" s="262"/>
      <c r="BQ714" s="262"/>
      <c r="BR714" s="262"/>
      <c r="BS714" s="262"/>
      <c r="BT714" s="262"/>
      <c r="BU714" s="262"/>
      <c r="BV714" s="262"/>
      <c r="BW714" s="262"/>
      <c r="BX714" s="262"/>
      <c r="BY714" s="262"/>
      <c r="BZ714" s="262"/>
      <c r="CA714" s="262"/>
      <c r="CB714" s="262"/>
      <c r="CC714" s="262"/>
      <c r="CD714" s="262"/>
      <c r="CE714" s="262"/>
      <c r="CF714" s="262"/>
      <c r="CG714" s="262"/>
      <c r="CH714" s="262"/>
      <c r="CI714" s="262"/>
      <c r="CJ714" s="262"/>
      <c r="CK714" s="262"/>
      <c r="CL714" s="262"/>
      <c r="CM714" s="262"/>
      <c r="CN714" s="262"/>
      <c r="CO714" s="262"/>
      <c r="CP714" s="262"/>
      <c r="CQ714" s="262"/>
      <c r="CR714" s="262"/>
      <c r="CS714" s="262"/>
      <c r="CT714" s="262"/>
      <c r="CU714" s="262"/>
      <c r="CV714" s="262"/>
    </row>
    <row r="715" spans="33:100">
      <c r="AG715" s="262"/>
      <c r="AH715" s="262"/>
      <c r="AI715" s="262"/>
      <c r="AJ715" s="262"/>
      <c r="AK715" s="262"/>
      <c r="AL715" s="262"/>
      <c r="AM715" s="262"/>
      <c r="AN715" s="262"/>
      <c r="AO715" s="262"/>
      <c r="AP715" s="262"/>
      <c r="AQ715" s="262"/>
      <c r="AR715" s="262"/>
      <c r="AS715" s="262"/>
      <c r="AT715" s="262"/>
      <c r="AU715" s="262"/>
      <c r="AV715" s="262"/>
      <c r="AW715" s="262"/>
      <c r="AX715" s="262"/>
      <c r="AY715" s="262"/>
      <c r="AZ715" s="262"/>
      <c r="BA715" s="262"/>
      <c r="BB715" s="262"/>
      <c r="BC715" s="262"/>
      <c r="BD715" s="262"/>
      <c r="BE715" s="262"/>
      <c r="BF715" s="262"/>
      <c r="BG715" s="262"/>
      <c r="BH715" s="262"/>
      <c r="BI715" s="262"/>
      <c r="BJ715" s="262"/>
      <c r="BK715" s="262"/>
      <c r="BL715" s="262"/>
      <c r="BM715" s="262"/>
      <c r="BN715" s="262"/>
      <c r="BO715" s="262"/>
      <c r="BP715" s="262"/>
      <c r="BQ715" s="262"/>
      <c r="BR715" s="262"/>
      <c r="BS715" s="262"/>
      <c r="BT715" s="262"/>
      <c r="BU715" s="262"/>
      <c r="BV715" s="262"/>
      <c r="BW715" s="262"/>
      <c r="BX715" s="262"/>
      <c r="BY715" s="262"/>
      <c r="BZ715" s="262"/>
      <c r="CA715" s="262"/>
      <c r="CB715" s="262"/>
      <c r="CC715" s="262"/>
      <c r="CD715" s="262"/>
      <c r="CE715" s="262"/>
      <c r="CF715" s="262"/>
      <c r="CG715" s="262"/>
      <c r="CH715" s="262"/>
      <c r="CI715" s="262"/>
      <c r="CJ715" s="262"/>
      <c r="CK715" s="262"/>
      <c r="CL715" s="262"/>
      <c r="CM715" s="262"/>
      <c r="CN715" s="262"/>
      <c r="CO715" s="262"/>
      <c r="CP715" s="262"/>
      <c r="CQ715" s="262"/>
      <c r="CR715" s="262"/>
      <c r="CS715" s="262"/>
      <c r="CT715" s="262"/>
      <c r="CU715" s="262"/>
      <c r="CV715" s="262"/>
    </row>
    <row r="716" spans="33:100">
      <c r="AG716" s="262"/>
      <c r="AH716" s="262"/>
      <c r="AI716" s="262"/>
      <c r="AJ716" s="262"/>
      <c r="AK716" s="262"/>
      <c r="AL716" s="262"/>
      <c r="AM716" s="262"/>
      <c r="AN716" s="262"/>
      <c r="AO716" s="262"/>
      <c r="AP716" s="262"/>
      <c r="AQ716" s="262"/>
      <c r="AR716" s="262"/>
      <c r="AS716" s="262"/>
      <c r="AT716" s="262"/>
      <c r="AU716" s="262"/>
      <c r="AV716" s="262"/>
      <c r="AW716" s="262"/>
      <c r="AX716" s="262"/>
      <c r="AY716" s="262"/>
      <c r="AZ716" s="262"/>
      <c r="BA716" s="262"/>
      <c r="BB716" s="262"/>
      <c r="BC716" s="262"/>
      <c r="BD716" s="262"/>
      <c r="BE716" s="262"/>
      <c r="BF716" s="262"/>
      <c r="BG716" s="262"/>
      <c r="BH716" s="262"/>
      <c r="BI716" s="262"/>
      <c r="BJ716" s="262"/>
      <c r="BK716" s="262"/>
      <c r="BL716" s="262"/>
      <c r="BM716" s="262"/>
      <c r="BN716" s="262"/>
      <c r="BO716" s="262"/>
      <c r="BP716" s="262"/>
      <c r="BQ716" s="262"/>
      <c r="BR716" s="262"/>
      <c r="BS716" s="262"/>
      <c r="BT716" s="262"/>
      <c r="BU716" s="262"/>
      <c r="BV716" s="262"/>
      <c r="BW716" s="262"/>
      <c r="BX716" s="262"/>
      <c r="BY716" s="262"/>
      <c r="BZ716" s="262"/>
      <c r="CA716" s="262"/>
      <c r="CB716" s="262"/>
      <c r="CC716" s="262"/>
      <c r="CD716" s="262"/>
      <c r="CE716" s="262"/>
      <c r="CF716" s="262"/>
      <c r="CG716" s="262"/>
      <c r="CH716" s="262"/>
      <c r="CI716" s="262"/>
      <c r="CJ716" s="262"/>
      <c r="CK716" s="262"/>
      <c r="CL716" s="262"/>
      <c r="CM716" s="262"/>
      <c r="CN716" s="262"/>
      <c r="CO716" s="262"/>
      <c r="CP716" s="262"/>
      <c r="CQ716" s="262"/>
      <c r="CR716" s="262"/>
      <c r="CS716" s="262"/>
      <c r="CT716" s="262"/>
      <c r="CU716" s="262"/>
      <c r="CV716" s="262"/>
    </row>
    <row r="717" spans="33:100">
      <c r="AG717" s="262"/>
      <c r="AH717" s="262"/>
      <c r="AI717" s="262"/>
      <c r="AJ717" s="262"/>
      <c r="AK717" s="262"/>
      <c r="AL717" s="262"/>
      <c r="AM717" s="262"/>
      <c r="AN717" s="262"/>
      <c r="AO717" s="262"/>
      <c r="AP717" s="262"/>
      <c r="AQ717" s="262"/>
      <c r="AR717" s="262"/>
      <c r="AS717" s="262"/>
      <c r="AT717" s="262"/>
      <c r="AU717" s="262"/>
      <c r="AV717" s="262"/>
      <c r="AW717" s="262"/>
      <c r="AX717" s="262"/>
      <c r="AY717" s="262"/>
      <c r="AZ717" s="262"/>
      <c r="BA717" s="262"/>
      <c r="BB717" s="262"/>
      <c r="BC717" s="262"/>
      <c r="BD717" s="262"/>
      <c r="BE717" s="262"/>
      <c r="BF717" s="262"/>
      <c r="BG717" s="262"/>
      <c r="BH717" s="262"/>
      <c r="BI717" s="262"/>
      <c r="BJ717" s="262"/>
      <c r="BK717" s="262"/>
      <c r="BL717" s="262"/>
      <c r="BM717" s="262"/>
      <c r="BN717" s="262"/>
      <c r="BO717" s="262"/>
      <c r="BP717" s="262"/>
      <c r="BQ717" s="262"/>
      <c r="BR717" s="262"/>
      <c r="BS717" s="262"/>
      <c r="BT717" s="262"/>
      <c r="BU717" s="262"/>
      <c r="BV717" s="262"/>
      <c r="BW717" s="262"/>
      <c r="BX717" s="262"/>
      <c r="BY717" s="262"/>
      <c r="BZ717" s="262"/>
      <c r="CA717" s="262"/>
      <c r="CB717" s="262"/>
      <c r="CC717" s="262"/>
      <c r="CD717" s="262"/>
      <c r="CE717" s="262"/>
      <c r="CF717" s="262"/>
      <c r="CG717" s="262"/>
      <c r="CH717" s="262"/>
      <c r="CI717" s="262"/>
      <c r="CJ717" s="262"/>
      <c r="CK717" s="262"/>
      <c r="CL717" s="262"/>
      <c r="CM717" s="262"/>
      <c r="CN717" s="262"/>
      <c r="CO717" s="262"/>
      <c r="CP717" s="262"/>
      <c r="CQ717" s="262"/>
      <c r="CR717" s="262"/>
      <c r="CS717" s="262"/>
      <c r="CT717" s="262"/>
      <c r="CU717" s="262"/>
      <c r="CV717" s="262"/>
    </row>
    <row r="718" spans="33:100">
      <c r="AG718" s="262"/>
      <c r="AH718" s="262"/>
      <c r="AI718" s="262"/>
      <c r="AJ718" s="262"/>
      <c r="AK718" s="262"/>
      <c r="AL718" s="262"/>
      <c r="AM718" s="262"/>
      <c r="AN718" s="262"/>
      <c r="AO718" s="262"/>
      <c r="AP718" s="262"/>
      <c r="AQ718" s="262"/>
      <c r="AR718" s="262"/>
      <c r="AS718" s="262"/>
      <c r="AT718" s="262"/>
      <c r="AU718" s="262"/>
      <c r="AV718" s="262"/>
      <c r="AW718" s="262"/>
      <c r="AX718" s="262"/>
      <c r="AY718" s="262"/>
      <c r="AZ718" s="262"/>
      <c r="BA718" s="262"/>
      <c r="BB718" s="262"/>
      <c r="BC718" s="262"/>
      <c r="BD718" s="262"/>
      <c r="BE718" s="262"/>
      <c r="BF718" s="262"/>
      <c r="BG718" s="262"/>
      <c r="BH718" s="262"/>
      <c r="BI718" s="262"/>
      <c r="BJ718" s="262"/>
      <c r="BK718" s="262"/>
      <c r="BL718" s="262"/>
      <c r="BM718" s="262"/>
      <c r="BN718" s="262"/>
      <c r="BO718" s="262"/>
      <c r="BP718" s="262"/>
      <c r="BQ718" s="262"/>
      <c r="BR718" s="262"/>
      <c r="BS718" s="262"/>
      <c r="BT718" s="262"/>
      <c r="BU718" s="262"/>
      <c r="BV718" s="262"/>
      <c r="BW718" s="262"/>
      <c r="BX718" s="262"/>
      <c r="BY718" s="262"/>
      <c r="BZ718" s="262"/>
      <c r="CA718" s="262"/>
      <c r="CB718" s="262"/>
      <c r="CC718" s="262"/>
      <c r="CD718" s="262"/>
      <c r="CE718" s="262"/>
      <c r="CF718" s="262"/>
      <c r="CG718" s="262"/>
      <c r="CH718" s="262"/>
      <c r="CI718" s="262"/>
      <c r="CJ718" s="262"/>
      <c r="CK718" s="262"/>
      <c r="CL718" s="262"/>
      <c r="CM718" s="262"/>
      <c r="CN718" s="262"/>
      <c r="CO718" s="262"/>
      <c r="CP718" s="262"/>
      <c r="CQ718" s="262"/>
      <c r="CR718" s="262"/>
      <c r="CS718" s="262"/>
      <c r="CT718" s="262"/>
      <c r="CU718" s="262"/>
      <c r="CV718" s="262"/>
    </row>
    <row r="719" spans="33:100">
      <c r="AG719" s="262"/>
      <c r="AH719" s="262"/>
      <c r="AI719" s="262"/>
      <c r="AJ719" s="262"/>
      <c r="AK719" s="262"/>
      <c r="AL719" s="262"/>
      <c r="AM719" s="262"/>
      <c r="AN719" s="262"/>
      <c r="AO719" s="262"/>
      <c r="AP719" s="262"/>
      <c r="AQ719" s="262"/>
      <c r="AR719" s="262"/>
      <c r="AS719" s="262"/>
      <c r="AT719" s="262"/>
      <c r="AU719" s="262"/>
      <c r="AV719" s="262"/>
      <c r="AW719" s="262"/>
      <c r="AX719" s="262"/>
      <c r="AY719" s="262"/>
      <c r="AZ719" s="262"/>
      <c r="BA719" s="262"/>
      <c r="BB719" s="262"/>
      <c r="BC719" s="262"/>
      <c r="BD719" s="262"/>
      <c r="BE719" s="262"/>
      <c r="BF719" s="262"/>
      <c r="BG719" s="262"/>
      <c r="BH719" s="262"/>
      <c r="BI719" s="262"/>
      <c r="BJ719" s="262"/>
      <c r="BK719" s="262"/>
      <c r="BL719" s="262"/>
      <c r="BM719" s="262"/>
      <c r="BN719" s="262"/>
      <c r="BO719" s="262"/>
      <c r="BP719" s="262"/>
      <c r="BQ719" s="262"/>
      <c r="BR719" s="262"/>
      <c r="BS719" s="262"/>
      <c r="BT719" s="262"/>
      <c r="BU719" s="262"/>
      <c r="BV719" s="262"/>
      <c r="BW719" s="262"/>
      <c r="BX719" s="262"/>
      <c r="BY719" s="262"/>
      <c r="BZ719" s="262"/>
      <c r="CA719" s="262"/>
      <c r="CB719" s="262"/>
      <c r="CC719" s="262"/>
      <c r="CD719" s="262"/>
      <c r="CE719" s="262"/>
      <c r="CF719" s="262"/>
      <c r="CG719" s="262"/>
      <c r="CH719" s="262"/>
      <c r="CI719" s="262"/>
      <c r="CJ719" s="262"/>
      <c r="CK719" s="262"/>
      <c r="CL719" s="262"/>
      <c r="CM719" s="262"/>
      <c r="CN719" s="262"/>
      <c r="CO719" s="262"/>
      <c r="CP719" s="262"/>
      <c r="CQ719" s="262"/>
      <c r="CR719" s="262"/>
      <c r="CS719" s="262"/>
      <c r="CT719" s="262"/>
      <c r="CU719" s="262"/>
      <c r="CV719" s="262"/>
    </row>
    <row r="720" spans="33:100">
      <c r="AG720" s="262"/>
      <c r="AH720" s="262"/>
      <c r="AI720" s="262"/>
      <c r="AJ720" s="262"/>
      <c r="AK720" s="262"/>
      <c r="AL720" s="262"/>
      <c r="AM720" s="262"/>
      <c r="AN720" s="262"/>
      <c r="AO720" s="262"/>
      <c r="AP720" s="262"/>
      <c r="AQ720" s="262"/>
      <c r="AR720" s="262"/>
      <c r="AS720" s="262"/>
      <c r="AT720" s="262"/>
      <c r="AU720" s="262"/>
      <c r="AV720" s="262"/>
      <c r="AW720" s="262"/>
      <c r="AX720" s="262"/>
      <c r="AY720" s="262"/>
      <c r="AZ720" s="262"/>
      <c r="BA720" s="262"/>
      <c r="BB720" s="262"/>
      <c r="BC720" s="262"/>
      <c r="BD720" s="262"/>
      <c r="BE720" s="262"/>
      <c r="BF720" s="262"/>
      <c r="BG720" s="262"/>
      <c r="BH720" s="262"/>
      <c r="BI720" s="262"/>
      <c r="BJ720" s="262"/>
      <c r="BK720" s="262"/>
      <c r="BL720" s="262"/>
      <c r="BM720" s="262"/>
      <c r="BN720" s="262"/>
      <c r="BO720" s="262"/>
      <c r="BP720" s="262"/>
      <c r="BQ720" s="262"/>
      <c r="BR720" s="262"/>
      <c r="BS720" s="262"/>
      <c r="BT720" s="262"/>
      <c r="BU720" s="262"/>
      <c r="BV720" s="262"/>
      <c r="BW720" s="262"/>
      <c r="BX720" s="262"/>
      <c r="BY720" s="262"/>
      <c r="BZ720" s="262"/>
      <c r="CA720" s="262"/>
      <c r="CB720" s="262"/>
      <c r="CC720" s="262"/>
      <c r="CD720" s="262"/>
      <c r="CE720" s="262"/>
      <c r="CF720" s="262"/>
      <c r="CG720" s="262"/>
      <c r="CH720" s="262"/>
      <c r="CI720" s="262"/>
      <c r="CJ720" s="262"/>
      <c r="CK720" s="262"/>
      <c r="CL720" s="262"/>
      <c r="CM720" s="262"/>
      <c r="CN720" s="262"/>
      <c r="CO720" s="262"/>
      <c r="CP720" s="262"/>
      <c r="CQ720" s="262"/>
      <c r="CR720" s="262"/>
      <c r="CS720" s="262"/>
      <c r="CT720" s="262"/>
      <c r="CU720" s="262"/>
      <c r="CV720" s="262"/>
    </row>
    <row r="721" spans="33:100">
      <c r="AG721" s="262"/>
      <c r="AH721" s="262"/>
      <c r="AI721" s="262"/>
      <c r="AJ721" s="262"/>
      <c r="AK721" s="262"/>
      <c r="AL721" s="262"/>
      <c r="AM721" s="262"/>
      <c r="AN721" s="262"/>
      <c r="AO721" s="262"/>
      <c r="AP721" s="262"/>
      <c r="AQ721" s="262"/>
      <c r="AR721" s="262"/>
      <c r="AS721" s="262"/>
      <c r="AT721" s="262"/>
      <c r="AU721" s="262"/>
      <c r="AV721" s="262"/>
      <c r="AW721" s="262"/>
      <c r="AX721" s="262"/>
      <c r="AY721" s="262"/>
      <c r="AZ721" s="262"/>
      <c r="BA721" s="262"/>
      <c r="BB721" s="262"/>
      <c r="BC721" s="262"/>
      <c r="BD721" s="262"/>
      <c r="BE721" s="262"/>
      <c r="BF721" s="262"/>
      <c r="BG721" s="262"/>
      <c r="BH721" s="262"/>
      <c r="BI721" s="262"/>
      <c r="BJ721" s="262"/>
      <c r="BK721" s="262"/>
      <c r="BL721" s="262"/>
      <c r="BM721" s="262"/>
      <c r="BN721" s="262"/>
      <c r="BO721" s="262"/>
      <c r="BP721" s="262"/>
      <c r="BQ721" s="262"/>
      <c r="BR721" s="262"/>
      <c r="BS721" s="262"/>
      <c r="BT721" s="262"/>
      <c r="BU721" s="262"/>
      <c r="BV721" s="262"/>
      <c r="BW721" s="262"/>
      <c r="BX721" s="262"/>
      <c r="BY721" s="262"/>
      <c r="BZ721" s="262"/>
      <c r="CA721" s="262"/>
      <c r="CB721" s="262"/>
      <c r="CC721" s="262"/>
      <c r="CD721" s="262"/>
      <c r="CE721" s="262"/>
      <c r="CF721" s="262"/>
      <c r="CG721" s="262"/>
      <c r="CH721" s="262"/>
      <c r="CI721" s="262"/>
      <c r="CJ721" s="262"/>
      <c r="CK721" s="262"/>
      <c r="CL721" s="262"/>
      <c r="CM721" s="262"/>
      <c r="CN721" s="262"/>
      <c r="CO721" s="262"/>
      <c r="CP721" s="262"/>
      <c r="CQ721" s="262"/>
      <c r="CR721" s="262"/>
      <c r="CS721" s="262"/>
      <c r="CT721" s="262"/>
      <c r="CU721" s="262"/>
      <c r="CV721" s="262"/>
    </row>
    <row r="722" spans="33:100">
      <c r="AG722" s="262"/>
      <c r="AH722" s="262"/>
      <c r="AI722" s="262"/>
      <c r="AJ722" s="262"/>
      <c r="AK722" s="262"/>
      <c r="AL722" s="262"/>
      <c r="AM722" s="262"/>
      <c r="AN722" s="262"/>
      <c r="AO722" s="262"/>
      <c r="AP722" s="262"/>
      <c r="AQ722" s="262"/>
      <c r="AR722" s="262"/>
      <c r="AS722" s="262"/>
      <c r="AT722" s="262"/>
      <c r="AU722" s="262"/>
      <c r="AV722" s="262"/>
      <c r="AW722" s="262"/>
      <c r="AX722" s="262"/>
      <c r="AY722" s="262"/>
      <c r="AZ722" s="262"/>
      <c r="BA722" s="262"/>
      <c r="BB722" s="262"/>
      <c r="BC722" s="262"/>
      <c r="BD722" s="262"/>
      <c r="BE722" s="262"/>
      <c r="BF722" s="262"/>
      <c r="BG722" s="262"/>
      <c r="BH722" s="262"/>
      <c r="BI722" s="262"/>
      <c r="BJ722" s="262"/>
      <c r="BK722" s="262"/>
      <c r="BL722" s="262"/>
      <c r="BM722" s="262"/>
      <c r="BN722" s="262"/>
      <c r="BO722" s="262"/>
      <c r="BP722" s="262"/>
      <c r="BQ722" s="262"/>
      <c r="BR722" s="262"/>
      <c r="BS722" s="262"/>
      <c r="BT722" s="262"/>
      <c r="BU722" s="262"/>
      <c r="BV722" s="262"/>
      <c r="BW722" s="262"/>
      <c r="BX722" s="262"/>
      <c r="BY722" s="262"/>
      <c r="BZ722" s="262"/>
      <c r="CA722" s="262"/>
      <c r="CB722" s="262"/>
      <c r="CC722" s="262"/>
      <c r="CD722" s="262"/>
      <c r="CE722" s="262"/>
      <c r="CF722" s="262"/>
      <c r="CG722" s="262"/>
      <c r="CH722" s="262"/>
      <c r="CI722" s="262"/>
      <c r="CJ722" s="262"/>
      <c r="CK722" s="262"/>
      <c r="CL722" s="262"/>
      <c r="CM722" s="262"/>
      <c r="CN722" s="262"/>
      <c r="CO722" s="262"/>
      <c r="CP722" s="262"/>
      <c r="CQ722" s="262"/>
      <c r="CR722" s="262"/>
      <c r="CS722" s="262"/>
      <c r="CT722" s="262"/>
      <c r="CU722" s="262"/>
      <c r="CV722" s="262"/>
    </row>
    <row r="723" spans="33:100">
      <c r="AG723" s="262"/>
      <c r="AH723" s="262"/>
      <c r="AI723" s="262"/>
      <c r="AJ723" s="262"/>
      <c r="AK723" s="262"/>
      <c r="AL723" s="262"/>
      <c r="AM723" s="262"/>
      <c r="AN723" s="262"/>
      <c r="AO723" s="262"/>
      <c r="AP723" s="262"/>
      <c r="AQ723" s="262"/>
      <c r="AR723" s="262"/>
      <c r="AS723" s="262"/>
      <c r="AT723" s="262"/>
      <c r="AU723" s="262"/>
      <c r="AV723" s="262"/>
      <c r="AW723" s="262"/>
      <c r="AX723" s="262"/>
      <c r="AY723" s="262"/>
      <c r="AZ723" s="262"/>
      <c r="BA723" s="262"/>
      <c r="BB723" s="262"/>
      <c r="BC723" s="262"/>
      <c r="BD723" s="262"/>
      <c r="BE723" s="262"/>
      <c r="BF723" s="262"/>
      <c r="BG723" s="262"/>
      <c r="BH723" s="262"/>
      <c r="BI723" s="262"/>
      <c r="BJ723" s="262"/>
      <c r="BK723" s="262"/>
      <c r="BL723" s="262"/>
      <c r="BM723" s="262"/>
      <c r="BN723" s="262"/>
      <c r="BO723" s="262"/>
      <c r="BP723" s="262"/>
      <c r="BQ723" s="262"/>
      <c r="BR723" s="262"/>
      <c r="BS723" s="262"/>
      <c r="BT723" s="262"/>
      <c r="BU723" s="262"/>
      <c r="BV723" s="262"/>
      <c r="BW723" s="262"/>
      <c r="BX723" s="262"/>
      <c r="BY723" s="262"/>
      <c r="BZ723" s="262"/>
      <c r="CA723" s="262"/>
      <c r="CB723" s="262"/>
      <c r="CC723" s="262"/>
      <c r="CD723" s="262"/>
      <c r="CE723" s="262"/>
      <c r="CF723" s="262"/>
      <c r="CG723" s="262"/>
      <c r="CH723" s="262"/>
      <c r="CI723" s="262"/>
      <c r="CJ723" s="262"/>
      <c r="CK723" s="262"/>
      <c r="CL723" s="262"/>
      <c r="CM723" s="262"/>
      <c r="CN723" s="262"/>
      <c r="CO723" s="262"/>
      <c r="CP723" s="262"/>
      <c r="CQ723" s="262"/>
      <c r="CR723" s="262"/>
      <c r="CS723" s="262"/>
      <c r="CT723" s="262"/>
      <c r="CU723" s="262"/>
      <c r="CV723" s="262"/>
    </row>
    <row r="724" spans="33:100">
      <c r="AG724" s="262"/>
      <c r="AH724" s="262"/>
      <c r="AI724" s="262"/>
      <c r="AJ724" s="262"/>
      <c r="AK724" s="262"/>
      <c r="AL724" s="262"/>
      <c r="AM724" s="262"/>
      <c r="AN724" s="262"/>
      <c r="AO724" s="262"/>
      <c r="AP724" s="262"/>
      <c r="AQ724" s="262"/>
      <c r="AR724" s="262"/>
      <c r="AS724" s="262"/>
      <c r="AT724" s="262"/>
      <c r="AU724" s="262"/>
      <c r="AV724" s="262"/>
      <c r="AW724" s="262"/>
      <c r="AX724" s="262"/>
      <c r="AY724" s="262"/>
      <c r="AZ724" s="262"/>
      <c r="BA724" s="262"/>
      <c r="BB724" s="262"/>
      <c r="BC724" s="262"/>
      <c r="BD724" s="262"/>
      <c r="BE724" s="262"/>
      <c r="BF724" s="262"/>
      <c r="BG724" s="262"/>
      <c r="BH724" s="262"/>
      <c r="BI724" s="262"/>
      <c r="BJ724" s="262"/>
      <c r="BK724" s="262"/>
      <c r="BL724" s="262"/>
      <c r="BM724" s="262"/>
      <c r="BN724" s="262"/>
      <c r="BO724" s="262"/>
      <c r="BP724" s="262"/>
      <c r="BQ724" s="262"/>
      <c r="BR724" s="262"/>
      <c r="BS724" s="262"/>
      <c r="BT724" s="262"/>
      <c r="BU724" s="262"/>
      <c r="BV724" s="262"/>
      <c r="BW724" s="262"/>
      <c r="BX724" s="262"/>
      <c r="BY724" s="262"/>
      <c r="BZ724" s="262"/>
      <c r="CA724" s="262"/>
      <c r="CB724" s="262"/>
      <c r="CC724" s="262"/>
      <c r="CD724" s="262"/>
      <c r="CE724" s="262"/>
      <c r="CF724" s="262"/>
      <c r="CG724" s="262"/>
      <c r="CH724" s="262"/>
      <c r="CI724" s="262"/>
      <c r="CJ724" s="262"/>
      <c r="CK724" s="262"/>
      <c r="CL724" s="262"/>
      <c r="CM724" s="262"/>
      <c r="CN724" s="262"/>
      <c r="CO724" s="262"/>
      <c r="CP724" s="262"/>
      <c r="CQ724" s="262"/>
      <c r="CR724" s="262"/>
      <c r="CS724" s="262"/>
      <c r="CT724" s="262"/>
      <c r="CU724" s="262"/>
      <c r="CV724" s="262"/>
    </row>
    <row r="725" spans="33:100">
      <c r="AG725" s="262"/>
      <c r="AH725" s="262"/>
      <c r="AI725" s="262"/>
      <c r="AJ725" s="262"/>
      <c r="AK725" s="262"/>
      <c r="AL725" s="262"/>
      <c r="AM725" s="262"/>
      <c r="AN725" s="262"/>
      <c r="AO725" s="262"/>
      <c r="AP725" s="262"/>
      <c r="AQ725" s="262"/>
      <c r="AR725" s="262"/>
      <c r="AS725" s="262"/>
      <c r="AT725" s="262"/>
      <c r="AU725" s="262"/>
      <c r="AV725" s="262"/>
      <c r="AW725" s="262"/>
      <c r="AX725" s="262"/>
      <c r="AY725" s="262"/>
      <c r="AZ725" s="262"/>
      <c r="BA725" s="262"/>
      <c r="BB725" s="262"/>
      <c r="BC725" s="262"/>
      <c r="BD725" s="262"/>
      <c r="BE725" s="262"/>
      <c r="BF725" s="262"/>
      <c r="BG725" s="262"/>
      <c r="BH725" s="262"/>
      <c r="BI725" s="262"/>
      <c r="BJ725" s="262"/>
      <c r="BK725" s="262"/>
      <c r="BL725" s="262"/>
      <c r="BM725" s="262"/>
      <c r="BN725" s="262"/>
      <c r="BO725" s="262"/>
      <c r="BP725" s="262"/>
      <c r="BQ725" s="262"/>
      <c r="BR725" s="262"/>
      <c r="BS725" s="262"/>
      <c r="BT725" s="262"/>
      <c r="BU725" s="262"/>
      <c r="BV725" s="262"/>
      <c r="BW725" s="262"/>
      <c r="BX725" s="262"/>
      <c r="BY725" s="262"/>
      <c r="BZ725" s="262"/>
      <c r="CA725" s="262"/>
      <c r="CB725" s="262"/>
      <c r="CC725" s="262"/>
      <c r="CD725" s="262"/>
      <c r="CE725" s="262"/>
      <c r="CF725" s="262"/>
      <c r="CG725" s="262"/>
      <c r="CH725" s="262"/>
      <c r="CI725" s="262"/>
      <c r="CJ725" s="262"/>
      <c r="CK725" s="262"/>
      <c r="CL725" s="262"/>
      <c r="CM725" s="262"/>
      <c r="CN725" s="262"/>
      <c r="CO725" s="262"/>
      <c r="CP725" s="262"/>
      <c r="CQ725" s="262"/>
      <c r="CR725" s="262"/>
      <c r="CS725" s="262"/>
      <c r="CT725" s="262"/>
      <c r="CU725" s="262"/>
      <c r="CV725" s="262"/>
    </row>
    <row r="726" spans="33:100">
      <c r="AG726" s="262"/>
      <c r="AH726" s="262"/>
      <c r="AI726" s="262"/>
      <c r="AJ726" s="262"/>
      <c r="AK726" s="262"/>
      <c r="AL726" s="262"/>
      <c r="AM726" s="262"/>
      <c r="AN726" s="262"/>
      <c r="AO726" s="262"/>
      <c r="AP726" s="262"/>
      <c r="AQ726" s="262"/>
      <c r="AR726" s="262"/>
      <c r="AS726" s="262"/>
      <c r="AT726" s="262"/>
      <c r="AU726" s="262"/>
      <c r="AV726" s="262"/>
      <c r="AW726" s="262"/>
      <c r="AX726" s="262"/>
      <c r="AY726" s="262"/>
      <c r="AZ726" s="262"/>
      <c r="BA726" s="262"/>
      <c r="BB726" s="262"/>
      <c r="BC726" s="262"/>
      <c r="BD726" s="262"/>
      <c r="BE726" s="262"/>
      <c r="BF726" s="262"/>
      <c r="BG726" s="262"/>
      <c r="BH726" s="262"/>
      <c r="BI726" s="262"/>
      <c r="BJ726" s="262"/>
      <c r="BK726" s="262"/>
      <c r="BL726" s="262"/>
      <c r="BM726" s="262"/>
      <c r="BN726" s="262"/>
      <c r="BO726" s="262"/>
      <c r="BP726" s="262"/>
      <c r="BQ726" s="262"/>
      <c r="BR726" s="262"/>
      <c r="BS726" s="262"/>
      <c r="BT726" s="262"/>
      <c r="BU726" s="262"/>
      <c r="BV726" s="262"/>
      <c r="BW726" s="262"/>
      <c r="BX726" s="262"/>
      <c r="BY726" s="262"/>
      <c r="BZ726" s="262"/>
      <c r="CA726" s="262"/>
      <c r="CB726" s="262"/>
      <c r="CC726" s="262"/>
      <c r="CD726" s="262"/>
      <c r="CE726" s="262"/>
      <c r="CF726" s="262"/>
      <c r="CG726" s="262"/>
      <c r="CH726" s="262"/>
      <c r="CI726" s="262"/>
      <c r="CJ726" s="262"/>
      <c r="CK726" s="262"/>
      <c r="CL726" s="262"/>
      <c r="CM726" s="262"/>
      <c r="CN726" s="262"/>
      <c r="CO726" s="262"/>
      <c r="CP726" s="262"/>
      <c r="CQ726" s="262"/>
      <c r="CR726" s="262"/>
      <c r="CS726" s="262"/>
      <c r="CT726" s="262"/>
      <c r="CU726" s="262"/>
      <c r="CV726" s="262"/>
    </row>
    <row r="727" spans="33:100">
      <c r="AG727" s="262"/>
      <c r="AH727" s="262"/>
      <c r="AI727" s="262"/>
      <c r="AJ727" s="262"/>
      <c r="AK727" s="262"/>
      <c r="AL727" s="262"/>
      <c r="AM727" s="262"/>
      <c r="AN727" s="262"/>
      <c r="AO727" s="262"/>
      <c r="AP727" s="262"/>
      <c r="AQ727" s="262"/>
      <c r="AR727" s="262"/>
      <c r="AS727" s="262"/>
      <c r="AT727" s="262"/>
      <c r="AU727" s="262"/>
      <c r="AV727" s="262"/>
      <c r="AW727" s="262"/>
      <c r="AX727" s="262"/>
      <c r="AY727" s="262"/>
      <c r="AZ727" s="262"/>
      <c r="BA727" s="262"/>
      <c r="BB727" s="262"/>
      <c r="BC727" s="262"/>
      <c r="BD727" s="262"/>
      <c r="BE727" s="262"/>
      <c r="BF727" s="262"/>
      <c r="BG727" s="262"/>
      <c r="BH727" s="262"/>
      <c r="BI727" s="262"/>
      <c r="BJ727" s="262"/>
      <c r="BK727" s="262"/>
      <c r="BL727" s="262"/>
      <c r="BM727" s="262"/>
      <c r="BN727" s="262"/>
      <c r="BO727" s="262"/>
      <c r="BP727" s="262"/>
      <c r="BQ727" s="262"/>
      <c r="BR727" s="262"/>
      <c r="BS727" s="262"/>
      <c r="BT727" s="262"/>
      <c r="BU727" s="262"/>
      <c r="BV727" s="262"/>
      <c r="BW727" s="262"/>
      <c r="BX727" s="262"/>
      <c r="BY727" s="262"/>
      <c r="BZ727" s="262"/>
      <c r="CA727" s="262"/>
      <c r="CB727" s="262"/>
      <c r="CC727" s="262"/>
      <c r="CD727" s="262"/>
      <c r="CE727" s="262"/>
      <c r="CF727" s="262"/>
      <c r="CG727" s="262"/>
      <c r="CH727" s="262"/>
      <c r="CI727" s="262"/>
      <c r="CJ727" s="262"/>
      <c r="CK727" s="262"/>
      <c r="CL727" s="262"/>
      <c r="CM727" s="262"/>
      <c r="CN727" s="262"/>
      <c r="CO727" s="262"/>
      <c r="CP727" s="262"/>
      <c r="CQ727" s="262"/>
      <c r="CR727" s="262"/>
      <c r="CS727" s="262"/>
      <c r="CT727" s="262"/>
      <c r="CU727" s="262"/>
      <c r="CV727" s="262"/>
    </row>
    <row r="728" spans="33:100">
      <c r="AG728" s="262"/>
      <c r="AH728" s="262"/>
      <c r="AI728" s="262"/>
      <c r="AJ728" s="262"/>
      <c r="AK728" s="262"/>
      <c r="AL728" s="262"/>
      <c r="AM728" s="262"/>
      <c r="AN728" s="262"/>
      <c r="AO728" s="262"/>
      <c r="AP728" s="262"/>
      <c r="AQ728" s="262"/>
      <c r="AR728" s="262"/>
      <c r="AS728" s="262"/>
      <c r="AT728" s="262"/>
      <c r="AU728" s="262"/>
      <c r="AV728" s="262"/>
      <c r="AW728" s="262"/>
      <c r="AX728" s="262"/>
      <c r="AY728" s="262"/>
      <c r="AZ728" s="262"/>
      <c r="BA728" s="262"/>
      <c r="BB728" s="262"/>
      <c r="BC728" s="262"/>
      <c r="BD728" s="262"/>
      <c r="BE728" s="262"/>
      <c r="BF728" s="262"/>
      <c r="BG728" s="262"/>
      <c r="BH728" s="262"/>
      <c r="BI728" s="262"/>
      <c r="BJ728" s="262"/>
      <c r="BK728" s="262"/>
      <c r="BL728" s="262"/>
      <c r="BM728" s="262"/>
      <c r="BN728" s="262"/>
      <c r="BO728" s="262"/>
      <c r="BP728" s="262"/>
      <c r="BQ728" s="262"/>
      <c r="BR728" s="262"/>
      <c r="BS728" s="262"/>
      <c r="BT728" s="262"/>
      <c r="BU728" s="262"/>
      <c r="BV728" s="262"/>
      <c r="BW728" s="262"/>
      <c r="BX728" s="262"/>
      <c r="BY728" s="262"/>
      <c r="BZ728" s="262"/>
      <c r="CA728" s="262"/>
      <c r="CB728" s="262"/>
      <c r="CC728" s="262"/>
      <c r="CD728" s="262"/>
      <c r="CE728" s="262"/>
      <c r="CF728" s="262"/>
      <c r="CG728" s="262"/>
      <c r="CH728" s="262"/>
      <c r="CI728" s="262"/>
      <c r="CJ728" s="262"/>
      <c r="CK728" s="262"/>
      <c r="CL728" s="262"/>
      <c r="CM728" s="262"/>
      <c r="CN728" s="262"/>
      <c r="CO728" s="262"/>
      <c r="CP728" s="262"/>
      <c r="CQ728" s="262"/>
      <c r="CR728" s="262"/>
      <c r="CS728" s="262"/>
      <c r="CT728" s="262"/>
      <c r="CU728" s="262"/>
      <c r="CV728" s="262"/>
    </row>
    <row r="729" spans="33:100">
      <c r="AG729" s="262"/>
      <c r="AH729" s="262"/>
      <c r="AI729" s="262"/>
      <c r="AJ729" s="262"/>
      <c r="AK729" s="262"/>
      <c r="AL729" s="262"/>
      <c r="AM729" s="262"/>
      <c r="AN729" s="262"/>
      <c r="AO729" s="262"/>
      <c r="AP729" s="262"/>
      <c r="AQ729" s="262"/>
      <c r="AR729" s="262"/>
      <c r="AS729" s="262"/>
      <c r="AT729" s="262"/>
      <c r="AU729" s="262"/>
      <c r="AV729" s="262"/>
      <c r="AW729" s="262"/>
      <c r="AX729" s="262"/>
      <c r="AY729" s="262"/>
      <c r="AZ729" s="262"/>
      <c r="BA729" s="262"/>
      <c r="BB729" s="262"/>
      <c r="BC729" s="262"/>
      <c r="BD729" s="262"/>
      <c r="BE729" s="262"/>
      <c r="BF729" s="262"/>
      <c r="BG729" s="262"/>
      <c r="BH729" s="262"/>
      <c r="BI729" s="262"/>
      <c r="BJ729" s="262"/>
      <c r="BK729" s="262"/>
      <c r="BL729" s="262"/>
      <c r="BM729" s="262"/>
      <c r="BN729" s="262"/>
      <c r="BO729" s="262"/>
      <c r="BP729" s="262"/>
      <c r="BQ729" s="262"/>
      <c r="BR729" s="262"/>
      <c r="BS729" s="262"/>
      <c r="BT729" s="262"/>
      <c r="BU729" s="262"/>
      <c r="BV729" s="262"/>
      <c r="BW729" s="262"/>
      <c r="BX729" s="262"/>
      <c r="BY729" s="262"/>
      <c r="BZ729" s="262"/>
      <c r="CA729" s="262"/>
      <c r="CB729" s="262"/>
      <c r="CC729" s="262"/>
      <c r="CD729" s="262"/>
      <c r="CE729" s="262"/>
      <c r="CF729" s="262"/>
      <c r="CG729" s="262"/>
      <c r="CH729" s="262"/>
      <c r="CI729" s="262"/>
      <c r="CJ729" s="262"/>
      <c r="CK729" s="262"/>
      <c r="CL729" s="262"/>
      <c r="CM729" s="262"/>
      <c r="CN729" s="262"/>
      <c r="CO729" s="262"/>
      <c r="CP729" s="262"/>
      <c r="CQ729" s="262"/>
      <c r="CR729" s="262"/>
      <c r="CS729" s="262"/>
      <c r="CT729" s="262"/>
      <c r="CU729" s="262"/>
      <c r="CV729" s="262"/>
    </row>
    <row r="730" spans="33:100">
      <c r="AG730" s="262"/>
      <c r="AH730" s="262"/>
      <c r="AI730" s="262"/>
      <c r="AJ730" s="262"/>
      <c r="AK730" s="262"/>
      <c r="AL730" s="262"/>
      <c r="AM730" s="262"/>
      <c r="AN730" s="262"/>
      <c r="AO730" s="262"/>
      <c r="AP730" s="262"/>
      <c r="AQ730" s="262"/>
      <c r="AR730" s="262"/>
      <c r="AS730" s="262"/>
      <c r="AT730" s="262"/>
      <c r="AU730" s="262"/>
      <c r="AV730" s="262"/>
      <c r="AW730" s="262"/>
      <c r="AX730" s="262"/>
      <c r="AY730" s="262"/>
      <c r="AZ730" s="262"/>
      <c r="BA730" s="262"/>
      <c r="BB730" s="262"/>
      <c r="BC730" s="262"/>
      <c r="BD730" s="262"/>
      <c r="BE730" s="262"/>
      <c r="BF730" s="262"/>
      <c r="BG730" s="262"/>
      <c r="BH730" s="262"/>
      <c r="BI730" s="262"/>
      <c r="BJ730" s="262"/>
      <c r="BK730" s="262"/>
      <c r="BL730" s="262"/>
      <c r="BM730" s="262"/>
      <c r="BN730" s="262"/>
      <c r="BO730" s="262"/>
      <c r="BP730" s="262"/>
      <c r="BQ730" s="262"/>
      <c r="BR730" s="262"/>
      <c r="BS730" s="262"/>
      <c r="BT730" s="262"/>
      <c r="BU730" s="262"/>
      <c r="BV730" s="262"/>
      <c r="BW730" s="262"/>
      <c r="BX730" s="262"/>
      <c r="BY730" s="262"/>
      <c r="BZ730" s="262"/>
      <c r="CA730" s="262"/>
      <c r="CB730" s="262"/>
      <c r="CC730" s="262"/>
      <c r="CD730" s="262"/>
      <c r="CE730" s="262"/>
      <c r="CF730" s="262"/>
      <c r="CG730" s="262"/>
      <c r="CH730" s="262"/>
      <c r="CI730" s="262"/>
      <c r="CJ730" s="262"/>
      <c r="CK730" s="262"/>
      <c r="CL730" s="262"/>
      <c r="CM730" s="262"/>
      <c r="CN730" s="262"/>
      <c r="CO730" s="262"/>
      <c r="CP730" s="262"/>
      <c r="CQ730" s="262"/>
      <c r="CR730" s="262"/>
      <c r="CS730" s="262"/>
      <c r="CT730" s="262"/>
      <c r="CU730" s="262"/>
      <c r="CV730" s="262"/>
    </row>
    <row r="731" spans="33:100">
      <c r="AG731" s="262"/>
      <c r="AH731" s="262"/>
      <c r="AI731" s="262"/>
      <c r="AJ731" s="262"/>
      <c r="AK731" s="262"/>
      <c r="AL731" s="262"/>
      <c r="AM731" s="262"/>
      <c r="AN731" s="262"/>
      <c r="AO731" s="262"/>
      <c r="AP731" s="262"/>
      <c r="AQ731" s="262"/>
      <c r="AR731" s="262"/>
      <c r="AS731" s="262"/>
      <c r="AT731" s="262"/>
      <c r="AU731" s="262"/>
      <c r="AV731" s="262"/>
      <c r="AW731" s="262"/>
      <c r="AX731" s="262"/>
      <c r="AY731" s="262"/>
      <c r="AZ731" s="262"/>
      <c r="BA731" s="262"/>
      <c r="BB731" s="262"/>
      <c r="BC731" s="262"/>
      <c r="BD731" s="262"/>
      <c r="BE731" s="262"/>
      <c r="BF731" s="262"/>
      <c r="BG731" s="262"/>
      <c r="BH731" s="262"/>
      <c r="BI731" s="262"/>
      <c r="BJ731" s="262"/>
      <c r="BK731" s="262"/>
      <c r="BL731" s="262"/>
      <c r="BM731" s="262"/>
      <c r="BN731" s="262"/>
      <c r="BO731" s="262"/>
      <c r="BP731" s="262"/>
      <c r="BQ731" s="262"/>
      <c r="BR731" s="262"/>
      <c r="BS731" s="262"/>
      <c r="BT731" s="262"/>
      <c r="BU731" s="262"/>
      <c r="BV731" s="262"/>
      <c r="BW731" s="262"/>
      <c r="BX731" s="262"/>
      <c r="BY731" s="262"/>
      <c r="BZ731" s="262"/>
      <c r="CA731" s="262"/>
      <c r="CB731" s="262"/>
      <c r="CC731" s="262"/>
      <c r="CD731" s="262"/>
      <c r="CE731" s="262"/>
      <c r="CF731" s="262"/>
      <c r="CG731" s="262"/>
      <c r="CH731" s="262"/>
      <c r="CI731" s="262"/>
      <c r="CJ731" s="262"/>
      <c r="CK731" s="262"/>
      <c r="CL731" s="262"/>
      <c r="CM731" s="262"/>
      <c r="CN731" s="262"/>
      <c r="CO731" s="262"/>
      <c r="CP731" s="262"/>
      <c r="CQ731" s="262"/>
      <c r="CR731" s="262"/>
      <c r="CS731" s="262"/>
      <c r="CT731" s="262"/>
      <c r="CU731" s="262"/>
      <c r="CV731" s="262"/>
    </row>
    <row r="732" spans="33:100">
      <c r="AG732" s="262"/>
      <c r="AH732" s="262"/>
      <c r="AI732" s="262"/>
      <c r="AJ732" s="262"/>
      <c r="AK732" s="262"/>
      <c r="AL732" s="262"/>
      <c r="AM732" s="262"/>
      <c r="AN732" s="262"/>
      <c r="AO732" s="262"/>
      <c r="AP732" s="262"/>
      <c r="AQ732" s="262"/>
      <c r="AR732" s="262"/>
      <c r="AS732" s="262"/>
      <c r="AT732" s="262"/>
      <c r="AU732" s="262"/>
      <c r="AV732" s="262"/>
      <c r="AW732" s="262"/>
      <c r="AX732" s="262"/>
      <c r="AY732" s="262"/>
      <c r="AZ732" s="262"/>
      <c r="BA732" s="262"/>
      <c r="BB732" s="262"/>
      <c r="BC732" s="262"/>
      <c r="BD732" s="262"/>
      <c r="BE732" s="262"/>
      <c r="BF732" s="262"/>
      <c r="BG732" s="262"/>
      <c r="BH732" s="262"/>
      <c r="BI732" s="262"/>
      <c r="BJ732" s="262"/>
      <c r="BK732" s="262"/>
      <c r="BL732" s="262"/>
      <c r="BM732" s="262"/>
      <c r="BN732" s="262"/>
      <c r="BO732" s="262"/>
      <c r="BP732" s="262"/>
      <c r="BQ732" s="262"/>
      <c r="BR732" s="262"/>
      <c r="BS732" s="262"/>
      <c r="BT732" s="262"/>
      <c r="BU732" s="262"/>
      <c r="BV732" s="262"/>
      <c r="BW732" s="262"/>
      <c r="BX732" s="262"/>
      <c r="BY732" s="262"/>
      <c r="BZ732" s="262"/>
      <c r="CA732" s="262"/>
      <c r="CB732" s="262"/>
      <c r="CC732" s="262"/>
      <c r="CD732" s="262"/>
      <c r="CE732" s="262"/>
      <c r="CF732" s="262"/>
      <c r="CG732" s="262"/>
      <c r="CH732" s="262"/>
      <c r="CI732" s="262"/>
      <c r="CJ732" s="262"/>
      <c r="CK732" s="262"/>
      <c r="CL732" s="262"/>
      <c r="CM732" s="262"/>
      <c r="CN732" s="262"/>
      <c r="CO732" s="262"/>
      <c r="CP732" s="262"/>
      <c r="CQ732" s="262"/>
      <c r="CR732" s="262"/>
      <c r="CS732" s="262"/>
      <c r="CT732" s="262"/>
      <c r="CU732" s="262"/>
      <c r="CV732" s="262"/>
    </row>
    <row r="733" spans="33:100">
      <c r="AG733" s="262"/>
      <c r="AH733" s="262"/>
      <c r="AI733" s="262"/>
      <c r="AJ733" s="262"/>
      <c r="AK733" s="262"/>
      <c r="AL733" s="262"/>
      <c r="AM733" s="262"/>
      <c r="AN733" s="262"/>
      <c r="AO733" s="262"/>
      <c r="AP733" s="262"/>
      <c r="AQ733" s="262"/>
      <c r="AR733" s="262"/>
      <c r="AS733" s="262"/>
      <c r="AT733" s="262"/>
      <c r="AU733" s="262"/>
      <c r="AV733" s="262"/>
      <c r="AW733" s="262"/>
      <c r="AX733" s="262"/>
      <c r="AY733" s="262"/>
      <c r="AZ733" s="262"/>
      <c r="BA733" s="262"/>
      <c r="BB733" s="262"/>
      <c r="BC733" s="262"/>
      <c r="BD733" s="262"/>
      <c r="BE733" s="262"/>
      <c r="BF733" s="262"/>
      <c r="BG733" s="262"/>
      <c r="BH733" s="262"/>
      <c r="BI733" s="262"/>
      <c r="BJ733" s="262"/>
      <c r="BK733" s="262"/>
      <c r="BL733" s="262"/>
      <c r="BM733" s="262"/>
      <c r="BN733" s="262"/>
      <c r="BO733" s="262"/>
      <c r="BP733" s="262"/>
      <c r="BQ733" s="262"/>
      <c r="BR733" s="262"/>
      <c r="BS733" s="262"/>
      <c r="BT733" s="262"/>
      <c r="BU733" s="262"/>
      <c r="BV733" s="262"/>
      <c r="BW733" s="262"/>
      <c r="BX733" s="262"/>
      <c r="BY733" s="262"/>
      <c r="BZ733" s="262"/>
      <c r="CA733" s="262"/>
      <c r="CB733" s="262"/>
      <c r="CC733" s="262"/>
      <c r="CD733" s="262"/>
      <c r="CE733" s="262"/>
      <c r="CF733" s="262"/>
      <c r="CG733" s="262"/>
      <c r="CH733" s="262"/>
      <c r="CI733" s="262"/>
      <c r="CJ733" s="262"/>
      <c r="CK733" s="262"/>
      <c r="CL733" s="262"/>
      <c r="CM733" s="262"/>
      <c r="CN733" s="262"/>
      <c r="CO733" s="262"/>
      <c r="CP733" s="262"/>
      <c r="CQ733" s="262"/>
      <c r="CR733" s="262"/>
      <c r="CS733" s="262"/>
      <c r="CT733" s="262"/>
      <c r="CU733" s="262"/>
      <c r="CV733" s="262"/>
    </row>
    <row r="734" spans="33:100">
      <c r="AG734" s="262"/>
      <c r="AH734" s="262"/>
      <c r="AI734" s="262"/>
      <c r="AJ734" s="262"/>
      <c r="AK734" s="262"/>
      <c r="AL734" s="262"/>
      <c r="AM734" s="262"/>
      <c r="AN734" s="262"/>
      <c r="AO734" s="262"/>
      <c r="AP734" s="262"/>
      <c r="AQ734" s="262"/>
      <c r="AR734" s="262"/>
      <c r="AS734" s="262"/>
      <c r="AT734" s="262"/>
      <c r="AU734" s="262"/>
      <c r="AV734" s="262"/>
      <c r="AW734" s="262"/>
      <c r="AX734" s="262"/>
      <c r="AY734" s="262"/>
      <c r="AZ734" s="262"/>
      <c r="BA734" s="262"/>
      <c r="BB734" s="262"/>
      <c r="BC734" s="262"/>
      <c r="BD734" s="262"/>
      <c r="BE734" s="262"/>
      <c r="BF734" s="262"/>
      <c r="BG734" s="262"/>
      <c r="BH734" s="262"/>
      <c r="BI734" s="262"/>
      <c r="BJ734" s="262"/>
      <c r="BK734" s="262"/>
      <c r="BL734" s="262"/>
      <c r="BM734" s="262"/>
      <c r="BN734" s="262"/>
      <c r="BO734" s="262"/>
      <c r="BP734" s="262"/>
      <c r="BQ734" s="262"/>
      <c r="BR734" s="262"/>
      <c r="BS734" s="262"/>
      <c r="BT734" s="262"/>
      <c r="BU734" s="262"/>
      <c r="BV734" s="262"/>
      <c r="BW734" s="262"/>
      <c r="BX734" s="262"/>
      <c r="BY734" s="262"/>
      <c r="BZ734" s="262"/>
      <c r="CA734" s="262"/>
      <c r="CB734" s="262"/>
      <c r="CC734" s="262"/>
      <c r="CD734" s="262"/>
      <c r="CE734" s="262"/>
      <c r="CF734" s="262"/>
      <c r="CG734" s="262"/>
      <c r="CH734" s="262"/>
      <c r="CI734" s="262"/>
      <c r="CJ734" s="262"/>
      <c r="CK734" s="262"/>
      <c r="CL734" s="262"/>
      <c r="CM734" s="262"/>
      <c r="CN734" s="262"/>
      <c r="CO734" s="262"/>
      <c r="CP734" s="262"/>
      <c r="CQ734" s="262"/>
      <c r="CR734" s="262"/>
      <c r="CS734" s="262"/>
      <c r="CT734" s="262"/>
      <c r="CU734" s="262"/>
      <c r="CV734" s="262"/>
    </row>
    <row r="735" spans="33:100">
      <c r="AG735" s="262"/>
      <c r="AH735" s="262"/>
      <c r="AI735" s="262"/>
      <c r="AJ735" s="262"/>
      <c r="AK735" s="262"/>
      <c r="AL735" s="262"/>
      <c r="AM735" s="262"/>
      <c r="AN735" s="262"/>
      <c r="AO735" s="262"/>
      <c r="AP735" s="262"/>
      <c r="AQ735" s="262"/>
      <c r="AR735" s="262"/>
      <c r="AS735" s="262"/>
      <c r="AT735" s="262"/>
      <c r="AU735" s="262"/>
      <c r="AV735" s="262"/>
      <c r="AW735" s="262"/>
      <c r="AX735" s="262"/>
      <c r="AY735" s="262"/>
      <c r="AZ735" s="262"/>
      <c r="BA735" s="262"/>
      <c r="BB735" s="262"/>
      <c r="BC735" s="262"/>
      <c r="BD735" s="262"/>
      <c r="BE735" s="262"/>
      <c r="BF735" s="262"/>
      <c r="BG735" s="262"/>
      <c r="BH735" s="262"/>
      <c r="BI735" s="262"/>
      <c r="BJ735" s="262"/>
      <c r="BK735" s="262"/>
      <c r="BL735" s="262"/>
      <c r="BM735" s="262"/>
      <c r="BN735" s="262"/>
      <c r="BO735" s="262"/>
      <c r="BP735" s="262"/>
      <c r="BQ735" s="262"/>
      <c r="BR735" s="262"/>
      <c r="BS735" s="262"/>
      <c r="BT735" s="262"/>
      <c r="BU735" s="262"/>
      <c r="BV735" s="262"/>
      <c r="BW735" s="262"/>
      <c r="BX735" s="262"/>
      <c r="BY735" s="262"/>
      <c r="BZ735" s="262"/>
      <c r="CA735" s="262"/>
      <c r="CB735" s="262"/>
      <c r="CC735" s="262"/>
      <c r="CD735" s="262"/>
      <c r="CE735" s="262"/>
      <c r="CF735" s="262"/>
      <c r="CG735" s="262"/>
      <c r="CH735" s="262"/>
      <c r="CI735" s="262"/>
      <c r="CJ735" s="262"/>
      <c r="CK735" s="262"/>
      <c r="CL735" s="262"/>
      <c r="CM735" s="262"/>
      <c r="CN735" s="262"/>
      <c r="CO735" s="262"/>
      <c r="CP735" s="262"/>
      <c r="CQ735" s="262"/>
      <c r="CR735" s="262"/>
      <c r="CS735" s="262"/>
      <c r="CT735" s="262"/>
      <c r="CU735" s="262"/>
      <c r="CV735" s="262"/>
    </row>
    <row r="736" spans="33:100">
      <c r="AG736" s="262"/>
      <c r="AH736" s="262"/>
      <c r="AI736" s="262"/>
      <c r="AJ736" s="262"/>
      <c r="AK736" s="262"/>
      <c r="AL736" s="262"/>
      <c r="AM736" s="262"/>
      <c r="AN736" s="262"/>
      <c r="AO736" s="262"/>
      <c r="AP736" s="262"/>
      <c r="AQ736" s="262"/>
      <c r="AR736" s="262"/>
      <c r="AS736" s="262"/>
      <c r="AT736" s="262"/>
      <c r="AU736" s="262"/>
      <c r="AV736" s="262"/>
      <c r="AW736" s="262"/>
      <c r="AX736" s="262"/>
      <c r="AY736" s="262"/>
      <c r="AZ736" s="262"/>
      <c r="BA736" s="262"/>
      <c r="BB736" s="262"/>
      <c r="BC736" s="262"/>
      <c r="BD736" s="262"/>
      <c r="BE736" s="262"/>
      <c r="BF736" s="262"/>
      <c r="BG736" s="262"/>
      <c r="BH736" s="262"/>
      <c r="BI736" s="262"/>
      <c r="BJ736" s="262"/>
      <c r="BK736" s="262"/>
      <c r="BL736" s="262"/>
      <c r="BM736" s="262"/>
      <c r="BN736" s="262"/>
      <c r="BO736" s="262"/>
      <c r="BP736" s="262"/>
      <c r="BQ736" s="262"/>
      <c r="BR736" s="262"/>
      <c r="BS736" s="262"/>
      <c r="BT736" s="262"/>
      <c r="BU736" s="262"/>
      <c r="BV736" s="262"/>
      <c r="BW736" s="262"/>
      <c r="BX736" s="262"/>
      <c r="BY736" s="262"/>
      <c r="BZ736" s="262"/>
      <c r="CA736" s="262"/>
      <c r="CB736" s="262"/>
      <c r="CC736" s="262"/>
      <c r="CD736" s="262"/>
      <c r="CE736" s="262"/>
      <c r="CF736" s="262"/>
      <c r="CG736" s="262"/>
      <c r="CH736" s="262"/>
      <c r="CI736" s="262"/>
      <c r="CJ736" s="262"/>
      <c r="CK736" s="262"/>
      <c r="CL736" s="262"/>
      <c r="CM736" s="262"/>
      <c r="CN736" s="262"/>
      <c r="CO736" s="262"/>
      <c r="CP736" s="262"/>
      <c r="CQ736" s="262"/>
      <c r="CR736" s="262"/>
      <c r="CS736" s="262"/>
      <c r="CT736" s="262"/>
      <c r="CU736" s="262"/>
      <c r="CV736" s="262"/>
    </row>
    <row r="737" spans="33:100">
      <c r="AG737" s="262"/>
      <c r="AH737" s="262"/>
      <c r="AI737" s="262"/>
      <c r="AJ737" s="262"/>
      <c r="AK737" s="262"/>
      <c r="AL737" s="262"/>
      <c r="AM737" s="262"/>
      <c r="AN737" s="262"/>
      <c r="AO737" s="262"/>
      <c r="AP737" s="262"/>
      <c r="AQ737" s="262"/>
      <c r="AR737" s="262"/>
      <c r="AS737" s="262"/>
      <c r="AT737" s="262"/>
      <c r="AU737" s="262"/>
      <c r="AV737" s="262"/>
      <c r="AW737" s="262"/>
      <c r="AX737" s="262"/>
      <c r="AY737" s="262"/>
      <c r="AZ737" s="262"/>
      <c r="BA737" s="262"/>
      <c r="BB737" s="262"/>
      <c r="BC737" s="262"/>
      <c r="BD737" s="262"/>
      <c r="BE737" s="262"/>
      <c r="BF737" s="262"/>
      <c r="BG737" s="262"/>
      <c r="BH737" s="262"/>
      <c r="BI737" s="262"/>
      <c r="BJ737" s="262"/>
      <c r="BK737" s="262"/>
      <c r="BL737" s="262"/>
      <c r="BM737" s="262"/>
      <c r="BN737" s="262"/>
      <c r="BO737" s="262"/>
      <c r="BP737" s="262"/>
      <c r="BQ737" s="262"/>
      <c r="BR737" s="262"/>
      <c r="BS737" s="262"/>
      <c r="BT737" s="262"/>
      <c r="BU737" s="262"/>
      <c r="BV737" s="262"/>
      <c r="BW737" s="262"/>
      <c r="BX737" s="262"/>
      <c r="BY737" s="262"/>
      <c r="BZ737" s="262"/>
      <c r="CA737" s="262"/>
      <c r="CB737" s="262"/>
      <c r="CC737" s="262"/>
      <c r="CD737" s="262"/>
      <c r="CE737" s="262"/>
      <c r="CF737" s="262"/>
      <c r="CG737" s="262"/>
      <c r="CH737" s="262"/>
      <c r="CI737" s="262"/>
      <c r="CJ737" s="262"/>
      <c r="CK737" s="262"/>
      <c r="CL737" s="262"/>
      <c r="CM737" s="262"/>
      <c r="CN737" s="262"/>
      <c r="CO737" s="262"/>
      <c r="CP737" s="262"/>
      <c r="CQ737" s="262"/>
      <c r="CR737" s="262"/>
      <c r="CS737" s="262"/>
      <c r="CT737" s="262"/>
      <c r="CU737" s="262"/>
      <c r="CV737" s="262"/>
    </row>
    <row r="738" spans="33:100">
      <c r="AG738" s="262"/>
      <c r="AH738" s="262"/>
      <c r="AI738" s="262"/>
      <c r="AJ738" s="262"/>
      <c r="AK738" s="262"/>
      <c r="AL738" s="262"/>
      <c r="AM738" s="262"/>
      <c r="AN738" s="262"/>
      <c r="AO738" s="262"/>
      <c r="AP738" s="262"/>
      <c r="AQ738" s="262"/>
      <c r="AR738" s="262"/>
      <c r="AS738" s="262"/>
      <c r="AT738" s="262"/>
      <c r="AU738" s="262"/>
      <c r="AV738" s="262"/>
      <c r="AW738" s="262"/>
      <c r="AX738" s="262"/>
      <c r="AY738" s="262"/>
      <c r="AZ738" s="262"/>
      <c r="BA738" s="262"/>
      <c r="BB738" s="262"/>
      <c r="BC738" s="262"/>
      <c r="BD738" s="262"/>
      <c r="BE738" s="262"/>
      <c r="BF738" s="262"/>
      <c r="BG738" s="262"/>
      <c r="BH738" s="262"/>
      <c r="BI738" s="262"/>
      <c r="BJ738" s="262"/>
      <c r="BK738" s="262"/>
      <c r="BL738" s="262"/>
      <c r="BM738" s="262"/>
      <c r="BN738" s="262"/>
      <c r="BO738" s="262"/>
      <c r="BP738" s="262"/>
      <c r="BQ738" s="262"/>
      <c r="BR738" s="262"/>
      <c r="BS738" s="262"/>
      <c r="BT738" s="262"/>
      <c r="BU738" s="262"/>
      <c r="BV738" s="262"/>
      <c r="BW738" s="262"/>
      <c r="BX738" s="262"/>
      <c r="BY738" s="262"/>
      <c r="BZ738" s="262"/>
      <c r="CA738" s="262"/>
      <c r="CB738" s="262"/>
      <c r="CC738" s="262"/>
      <c r="CD738" s="262"/>
      <c r="CE738" s="262"/>
      <c r="CF738" s="262"/>
      <c r="CG738" s="262"/>
      <c r="CH738" s="262"/>
      <c r="CI738" s="262"/>
      <c r="CJ738" s="262"/>
      <c r="CK738" s="262"/>
      <c r="CL738" s="262"/>
      <c r="CM738" s="262"/>
      <c r="CN738" s="262"/>
      <c r="CO738" s="262"/>
      <c r="CP738" s="262"/>
      <c r="CQ738" s="262"/>
      <c r="CR738" s="262"/>
      <c r="CS738" s="262"/>
      <c r="CT738" s="262"/>
      <c r="CU738" s="262"/>
      <c r="CV738" s="262"/>
    </row>
    <row r="739" spans="33:100">
      <c r="AG739" s="262"/>
      <c r="AH739" s="262"/>
      <c r="AI739" s="262"/>
      <c r="AJ739" s="262"/>
      <c r="AK739" s="262"/>
      <c r="AL739" s="262"/>
      <c r="AM739" s="262"/>
      <c r="AN739" s="262"/>
      <c r="AO739" s="262"/>
      <c r="AP739" s="262"/>
      <c r="AQ739" s="262"/>
      <c r="AR739" s="262"/>
      <c r="AS739" s="262"/>
      <c r="AT739" s="262"/>
      <c r="AU739" s="262"/>
      <c r="AV739" s="262"/>
      <c r="AW739" s="262"/>
      <c r="AX739" s="262"/>
      <c r="AY739" s="262"/>
      <c r="AZ739" s="262"/>
      <c r="BA739" s="262"/>
      <c r="BB739" s="262"/>
      <c r="BC739" s="262"/>
      <c r="BD739" s="262"/>
      <c r="BE739" s="262"/>
      <c r="BF739" s="262"/>
      <c r="BG739" s="262"/>
      <c r="BH739" s="262"/>
      <c r="BI739" s="262"/>
      <c r="BJ739" s="262"/>
      <c r="BK739" s="262"/>
      <c r="BL739" s="262"/>
      <c r="BM739" s="262"/>
      <c r="BN739" s="262"/>
      <c r="BO739" s="262"/>
      <c r="BP739" s="262"/>
      <c r="BQ739" s="262"/>
      <c r="BR739" s="262"/>
      <c r="BS739" s="262"/>
      <c r="BT739" s="262"/>
      <c r="BU739" s="262"/>
      <c r="BV739" s="262"/>
      <c r="BW739" s="262"/>
      <c r="BX739" s="262"/>
      <c r="BY739" s="262"/>
      <c r="BZ739" s="262"/>
      <c r="CA739" s="262"/>
      <c r="CB739" s="262"/>
      <c r="CC739" s="262"/>
      <c r="CD739" s="262"/>
      <c r="CE739" s="262"/>
      <c r="CF739" s="262"/>
      <c r="CG739" s="262"/>
      <c r="CH739" s="262"/>
      <c r="CI739" s="262"/>
      <c r="CJ739" s="262"/>
      <c r="CK739" s="262"/>
      <c r="CL739" s="262"/>
      <c r="CM739" s="262"/>
      <c r="CN739" s="262"/>
      <c r="CO739" s="262"/>
      <c r="CP739" s="262"/>
      <c r="CQ739" s="262"/>
      <c r="CR739" s="262"/>
      <c r="CS739" s="262"/>
      <c r="CT739" s="262"/>
      <c r="CU739" s="262"/>
      <c r="CV739" s="262"/>
    </row>
    <row r="740" spans="33:100">
      <c r="AG740" s="262"/>
      <c r="AH740" s="262"/>
      <c r="AI740" s="262"/>
      <c r="AJ740" s="262"/>
      <c r="AK740" s="262"/>
      <c r="AL740" s="262"/>
      <c r="AM740" s="262"/>
      <c r="AN740" s="262"/>
      <c r="AO740" s="262"/>
      <c r="AP740" s="262"/>
      <c r="AQ740" s="262"/>
      <c r="AR740" s="262"/>
      <c r="AS740" s="262"/>
      <c r="AT740" s="262"/>
      <c r="AU740" s="262"/>
      <c r="AV740" s="262"/>
      <c r="AW740" s="262"/>
      <c r="AX740" s="262"/>
      <c r="AY740" s="262"/>
      <c r="AZ740" s="262"/>
      <c r="BA740" s="262"/>
      <c r="BB740" s="262"/>
      <c r="BC740" s="262"/>
      <c r="BD740" s="262"/>
      <c r="BE740" s="262"/>
      <c r="BF740" s="262"/>
      <c r="BG740" s="262"/>
      <c r="BH740" s="262"/>
      <c r="BI740" s="262"/>
      <c r="BJ740" s="262"/>
      <c r="BK740" s="262"/>
      <c r="BL740" s="262"/>
      <c r="BM740" s="262"/>
      <c r="BN740" s="262"/>
      <c r="BO740" s="262"/>
      <c r="BP740" s="262"/>
      <c r="BQ740" s="262"/>
      <c r="BR740" s="262"/>
      <c r="BS740" s="262"/>
      <c r="BT740" s="262"/>
      <c r="BU740" s="262"/>
      <c r="BV740" s="262"/>
      <c r="BW740" s="262"/>
      <c r="BX740" s="262"/>
      <c r="BY740" s="262"/>
      <c r="BZ740" s="262"/>
      <c r="CA740" s="262"/>
      <c r="CB740" s="262"/>
      <c r="CC740" s="262"/>
      <c r="CD740" s="262"/>
      <c r="CE740" s="262"/>
      <c r="CF740" s="262"/>
      <c r="CG740" s="262"/>
      <c r="CH740" s="262"/>
      <c r="CI740" s="262"/>
      <c r="CJ740" s="262"/>
      <c r="CK740" s="262"/>
      <c r="CL740" s="262"/>
      <c r="CM740" s="262"/>
      <c r="CN740" s="262"/>
      <c r="CO740" s="262"/>
      <c r="CP740" s="262"/>
      <c r="CQ740" s="262"/>
      <c r="CR740" s="262"/>
      <c r="CS740" s="262"/>
      <c r="CT740" s="262"/>
      <c r="CU740" s="262"/>
      <c r="CV740" s="262"/>
    </row>
    <row r="741" spans="33:100">
      <c r="AG741" s="262"/>
      <c r="AH741" s="262"/>
      <c r="AI741" s="262"/>
      <c r="AJ741" s="262"/>
      <c r="AK741" s="262"/>
      <c r="AL741" s="262"/>
      <c r="AM741" s="262"/>
      <c r="AN741" s="262"/>
      <c r="AO741" s="262"/>
      <c r="AP741" s="262"/>
      <c r="AQ741" s="262"/>
      <c r="AR741" s="262"/>
      <c r="AS741" s="262"/>
      <c r="AT741" s="262"/>
      <c r="AU741" s="262"/>
      <c r="AV741" s="262"/>
      <c r="AW741" s="262"/>
      <c r="AX741" s="262"/>
      <c r="AY741" s="262"/>
      <c r="AZ741" s="262"/>
      <c r="BA741" s="262"/>
      <c r="BB741" s="262"/>
      <c r="BC741" s="262"/>
      <c r="BD741" s="262"/>
      <c r="BE741" s="262"/>
      <c r="BF741" s="262"/>
      <c r="BG741" s="262"/>
      <c r="BH741" s="262"/>
      <c r="BI741" s="262"/>
      <c r="BJ741" s="262"/>
      <c r="BK741" s="262"/>
      <c r="BL741" s="262"/>
      <c r="BM741" s="262"/>
      <c r="BN741" s="262"/>
      <c r="BO741" s="262"/>
      <c r="BP741" s="262"/>
      <c r="BQ741" s="262"/>
      <c r="BR741" s="262"/>
      <c r="BS741" s="262"/>
      <c r="BT741" s="262"/>
      <c r="BU741" s="262"/>
      <c r="BV741" s="262"/>
      <c r="BW741" s="262"/>
      <c r="BX741" s="262"/>
      <c r="BY741" s="262"/>
      <c r="BZ741" s="262"/>
      <c r="CA741" s="262"/>
      <c r="CB741" s="262"/>
      <c r="CC741" s="262"/>
      <c r="CD741" s="262"/>
      <c r="CE741" s="262"/>
      <c r="CF741" s="262"/>
      <c r="CG741" s="262"/>
      <c r="CH741" s="262"/>
      <c r="CI741" s="262"/>
      <c r="CJ741" s="262"/>
      <c r="CK741" s="262"/>
      <c r="CL741" s="262"/>
      <c r="CM741" s="262"/>
      <c r="CN741" s="262"/>
      <c r="CO741" s="262"/>
      <c r="CP741" s="262"/>
      <c r="CQ741" s="262"/>
      <c r="CR741" s="262"/>
      <c r="CS741" s="262"/>
      <c r="CT741" s="262"/>
      <c r="CU741" s="262"/>
      <c r="CV741" s="262"/>
    </row>
    <row r="742" spans="33:100">
      <c r="AG742" s="262"/>
      <c r="AH742" s="262"/>
      <c r="AI742" s="262"/>
      <c r="AJ742" s="262"/>
      <c r="AK742" s="262"/>
      <c r="AL742" s="262"/>
      <c r="AM742" s="262"/>
      <c r="AN742" s="262"/>
      <c r="AO742" s="262"/>
      <c r="AP742" s="262"/>
      <c r="AQ742" s="262"/>
      <c r="AR742" s="262"/>
      <c r="AS742" s="262"/>
      <c r="AT742" s="262"/>
      <c r="AU742" s="262"/>
      <c r="AV742" s="262"/>
      <c r="AW742" s="262"/>
      <c r="AX742" s="262"/>
      <c r="AY742" s="262"/>
      <c r="AZ742" s="262"/>
      <c r="BA742" s="262"/>
      <c r="BB742" s="262"/>
      <c r="BC742" s="262"/>
      <c r="BD742" s="262"/>
      <c r="BE742" s="262"/>
      <c r="BF742" s="262"/>
      <c r="BG742" s="262"/>
      <c r="BH742" s="262"/>
      <c r="BI742" s="262"/>
      <c r="BJ742" s="262"/>
      <c r="BK742" s="262"/>
      <c r="BL742" s="262"/>
      <c r="BM742" s="262"/>
      <c r="BN742" s="262"/>
      <c r="BO742" s="262"/>
      <c r="BP742" s="262"/>
      <c r="BQ742" s="262"/>
      <c r="BR742" s="262"/>
      <c r="BS742" s="262"/>
      <c r="BT742" s="262"/>
      <c r="BU742" s="262"/>
      <c r="BV742" s="262"/>
      <c r="BW742" s="262"/>
      <c r="BX742" s="262"/>
      <c r="BY742" s="262"/>
      <c r="BZ742" s="262"/>
      <c r="CA742" s="262"/>
      <c r="CB742" s="262"/>
      <c r="CC742" s="262"/>
      <c r="CD742" s="262"/>
      <c r="CE742" s="262"/>
      <c r="CF742" s="262"/>
      <c r="CG742" s="262"/>
      <c r="CH742" s="262"/>
      <c r="CI742" s="262"/>
      <c r="CJ742" s="262"/>
      <c r="CK742" s="262"/>
      <c r="CL742" s="262"/>
      <c r="CM742" s="262"/>
      <c r="CN742" s="262"/>
      <c r="CO742" s="262"/>
      <c r="CP742" s="262"/>
      <c r="CQ742" s="262"/>
      <c r="CR742" s="262"/>
      <c r="CS742" s="262"/>
      <c r="CT742" s="262"/>
      <c r="CU742" s="262"/>
      <c r="CV742" s="262"/>
    </row>
    <row r="743" spans="33:100">
      <c r="AG743" s="262"/>
      <c r="AH743" s="262"/>
      <c r="AI743" s="262"/>
      <c r="AJ743" s="262"/>
      <c r="AK743" s="262"/>
      <c r="AL743" s="262"/>
      <c r="AM743" s="262"/>
      <c r="AN743" s="262"/>
      <c r="AO743" s="262"/>
      <c r="AP743" s="262"/>
      <c r="AQ743" s="262"/>
      <c r="AR743" s="262"/>
      <c r="AS743" s="262"/>
      <c r="AT743" s="262"/>
      <c r="AU743" s="262"/>
      <c r="AV743" s="262"/>
      <c r="AW743" s="262"/>
      <c r="AX743" s="262"/>
      <c r="AY743" s="262"/>
      <c r="AZ743" s="262"/>
      <c r="BA743" s="262"/>
      <c r="BB743" s="262"/>
      <c r="BC743" s="262"/>
      <c r="BD743" s="262"/>
      <c r="BE743" s="262"/>
      <c r="BF743" s="262"/>
      <c r="BG743" s="262"/>
      <c r="BH743" s="262"/>
      <c r="BI743" s="262"/>
      <c r="BJ743" s="262"/>
      <c r="BK743" s="262"/>
      <c r="BL743" s="262"/>
      <c r="BM743" s="262"/>
      <c r="BN743" s="262"/>
      <c r="BO743" s="262"/>
      <c r="BP743" s="262"/>
      <c r="BQ743" s="262"/>
      <c r="BR743" s="262"/>
      <c r="BS743" s="262"/>
      <c r="BT743" s="262"/>
      <c r="BU743" s="262"/>
      <c r="BV743" s="262"/>
      <c r="BW743" s="262"/>
      <c r="BX743" s="262"/>
      <c r="BY743" s="262"/>
      <c r="BZ743" s="262"/>
      <c r="CA743" s="262"/>
      <c r="CB743" s="262"/>
      <c r="CC743" s="262"/>
      <c r="CD743" s="262"/>
      <c r="CE743" s="262"/>
      <c r="CF743" s="262"/>
      <c r="CG743" s="262"/>
      <c r="CH743" s="262"/>
      <c r="CI743" s="262"/>
      <c r="CJ743" s="262"/>
      <c r="CK743" s="262"/>
      <c r="CL743" s="262"/>
      <c r="CM743" s="262"/>
      <c r="CN743" s="262"/>
      <c r="CO743" s="262"/>
      <c r="CP743" s="262"/>
      <c r="CQ743" s="262"/>
      <c r="CR743" s="262"/>
      <c r="CS743" s="262"/>
      <c r="CT743" s="262"/>
      <c r="CU743" s="262"/>
      <c r="CV743" s="262"/>
    </row>
    <row r="744" spans="33:100">
      <c r="AG744" s="262"/>
      <c r="AH744" s="262"/>
      <c r="AI744" s="262"/>
      <c r="AJ744" s="262"/>
      <c r="AK744" s="262"/>
      <c r="AL744" s="262"/>
      <c r="AM744" s="262"/>
      <c r="AN744" s="262"/>
      <c r="AO744" s="262"/>
      <c r="AP744" s="262"/>
      <c r="AQ744" s="262"/>
      <c r="AR744" s="262"/>
      <c r="AS744" s="262"/>
      <c r="AT744" s="262"/>
      <c r="AU744" s="262"/>
      <c r="AV744" s="262"/>
      <c r="AW744" s="262"/>
      <c r="AX744" s="262"/>
      <c r="AY744" s="262"/>
      <c r="AZ744" s="262"/>
      <c r="BA744" s="262"/>
      <c r="BB744" s="262"/>
      <c r="BC744" s="262"/>
      <c r="BD744" s="262"/>
      <c r="BE744" s="262"/>
      <c r="BF744" s="262"/>
      <c r="BG744" s="262"/>
      <c r="BH744" s="262"/>
      <c r="BI744" s="262"/>
      <c r="BJ744" s="262"/>
      <c r="BK744" s="262"/>
      <c r="BL744" s="262"/>
      <c r="BM744" s="262"/>
      <c r="BN744" s="262"/>
      <c r="BO744" s="262"/>
      <c r="BP744" s="262"/>
      <c r="BQ744" s="262"/>
      <c r="BR744" s="262"/>
      <c r="BS744" s="262"/>
      <c r="BT744" s="262"/>
      <c r="BU744" s="262"/>
      <c r="BV744" s="262"/>
      <c r="BW744" s="262"/>
      <c r="BX744" s="262"/>
      <c r="BY744" s="262"/>
      <c r="BZ744" s="262"/>
      <c r="CA744" s="262"/>
      <c r="CB744" s="262"/>
      <c r="CC744" s="262"/>
      <c r="CD744" s="262"/>
      <c r="CE744" s="262"/>
      <c r="CF744" s="262"/>
      <c r="CG744" s="262"/>
      <c r="CH744" s="262"/>
      <c r="CI744" s="262"/>
      <c r="CJ744" s="262"/>
      <c r="CK744" s="262"/>
      <c r="CL744" s="262"/>
      <c r="CM744" s="262"/>
      <c r="CN744" s="262"/>
      <c r="CO744" s="262"/>
      <c r="CP744" s="262"/>
      <c r="CQ744" s="262"/>
      <c r="CR744" s="262"/>
      <c r="CS744" s="262"/>
      <c r="CT744" s="262"/>
      <c r="CU744" s="262"/>
      <c r="CV744" s="262"/>
    </row>
    <row r="745" spans="33:100">
      <c r="AG745" s="262"/>
      <c r="AH745" s="262"/>
      <c r="AI745" s="262"/>
      <c r="AJ745" s="262"/>
      <c r="AK745" s="262"/>
      <c r="AL745" s="262"/>
      <c r="AM745" s="262"/>
      <c r="AN745" s="262"/>
      <c r="AO745" s="262"/>
      <c r="AP745" s="262"/>
      <c r="AQ745" s="262"/>
      <c r="AR745" s="262"/>
      <c r="AS745" s="262"/>
      <c r="AT745" s="262"/>
      <c r="AU745" s="262"/>
      <c r="AV745" s="262"/>
      <c r="AW745" s="262"/>
      <c r="AX745" s="262"/>
      <c r="AY745" s="262"/>
      <c r="AZ745" s="262"/>
      <c r="BA745" s="262"/>
      <c r="BB745" s="262"/>
      <c r="BC745" s="262"/>
      <c r="BD745" s="262"/>
      <c r="BE745" s="262"/>
      <c r="BF745" s="262"/>
      <c r="BG745" s="262"/>
      <c r="BH745" s="262"/>
      <c r="BI745" s="262"/>
      <c r="BJ745" s="262"/>
      <c r="BK745" s="262"/>
      <c r="BL745" s="262"/>
      <c r="BM745" s="262"/>
      <c r="BN745" s="262"/>
      <c r="BO745" s="262"/>
      <c r="BP745" s="262"/>
      <c r="BQ745" s="262"/>
      <c r="BR745" s="262"/>
      <c r="BS745" s="262"/>
      <c r="BT745" s="262"/>
      <c r="BU745" s="262"/>
      <c r="BV745" s="262"/>
      <c r="BW745" s="262"/>
      <c r="BX745" s="262"/>
      <c r="BY745" s="262"/>
      <c r="BZ745" s="262"/>
      <c r="CA745" s="262"/>
      <c r="CB745" s="262"/>
      <c r="CC745" s="262"/>
      <c r="CD745" s="262"/>
      <c r="CE745" s="262"/>
      <c r="CF745" s="262"/>
      <c r="CG745" s="262"/>
      <c r="CH745" s="262"/>
      <c r="CI745" s="262"/>
      <c r="CJ745" s="262"/>
      <c r="CK745" s="262"/>
      <c r="CL745" s="262"/>
      <c r="CM745" s="262"/>
      <c r="CN745" s="262"/>
      <c r="CO745" s="262"/>
      <c r="CP745" s="262"/>
      <c r="CQ745" s="262"/>
      <c r="CR745" s="262"/>
      <c r="CS745" s="262"/>
      <c r="CT745" s="262"/>
      <c r="CU745" s="262"/>
      <c r="CV745" s="262"/>
    </row>
    <row r="746" spans="33:100">
      <c r="AG746" s="262"/>
      <c r="AH746" s="262"/>
      <c r="AI746" s="262"/>
      <c r="AJ746" s="262"/>
      <c r="AK746" s="262"/>
      <c r="AL746" s="262"/>
      <c r="AM746" s="262"/>
      <c r="AN746" s="262"/>
      <c r="AO746" s="262"/>
      <c r="AP746" s="262"/>
      <c r="AQ746" s="262"/>
      <c r="AR746" s="262"/>
      <c r="AS746" s="262"/>
      <c r="AT746" s="262"/>
      <c r="AU746" s="262"/>
      <c r="AV746" s="262"/>
      <c r="AW746" s="262"/>
      <c r="AX746" s="262"/>
      <c r="AY746" s="262"/>
      <c r="AZ746" s="262"/>
      <c r="BA746" s="262"/>
      <c r="BB746" s="262"/>
      <c r="BC746" s="262"/>
      <c r="BD746" s="262"/>
      <c r="BE746" s="262"/>
      <c r="BF746" s="262"/>
      <c r="BG746" s="262"/>
      <c r="BH746" s="262"/>
      <c r="BI746" s="262"/>
      <c r="BJ746" s="262"/>
      <c r="BK746" s="262"/>
      <c r="BL746" s="262"/>
      <c r="BM746" s="262"/>
      <c r="BN746" s="262"/>
      <c r="BO746" s="262"/>
      <c r="BP746" s="262"/>
      <c r="BQ746" s="262"/>
      <c r="BR746" s="262"/>
      <c r="BS746" s="262"/>
      <c r="BT746" s="262"/>
      <c r="BU746" s="262"/>
      <c r="BV746" s="262"/>
      <c r="BW746" s="262"/>
      <c r="BX746" s="262"/>
      <c r="BY746" s="262"/>
      <c r="BZ746" s="262"/>
      <c r="CA746" s="262"/>
      <c r="CB746" s="262"/>
      <c r="CC746" s="262"/>
      <c r="CD746" s="262"/>
      <c r="CE746" s="262"/>
      <c r="CF746" s="262"/>
      <c r="CG746" s="262"/>
      <c r="CH746" s="262"/>
      <c r="CI746" s="262"/>
      <c r="CJ746" s="262"/>
      <c r="CK746" s="262"/>
      <c r="CL746" s="262"/>
      <c r="CM746" s="262"/>
      <c r="CN746" s="262"/>
      <c r="CO746" s="262"/>
      <c r="CP746" s="262"/>
      <c r="CQ746" s="262"/>
      <c r="CR746" s="262"/>
      <c r="CS746" s="262"/>
      <c r="CT746" s="262"/>
      <c r="CU746" s="262"/>
      <c r="CV746" s="262"/>
    </row>
    <row r="747" spans="33:100">
      <c r="AG747" s="262"/>
      <c r="AH747" s="262"/>
      <c r="AI747" s="262"/>
      <c r="AJ747" s="262"/>
      <c r="AK747" s="262"/>
      <c r="AL747" s="262"/>
      <c r="AM747" s="262"/>
      <c r="AN747" s="262"/>
      <c r="AO747" s="262"/>
      <c r="AP747" s="262"/>
      <c r="AQ747" s="262"/>
      <c r="AR747" s="262"/>
      <c r="AS747" s="262"/>
      <c r="AT747" s="262"/>
      <c r="AU747" s="262"/>
      <c r="AV747" s="262"/>
      <c r="AW747" s="262"/>
      <c r="AX747" s="262"/>
      <c r="AY747" s="262"/>
      <c r="AZ747" s="262"/>
      <c r="BA747" s="262"/>
      <c r="BB747" s="262"/>
      <c r="BC747" s="262"/>
      <c r="BD747" s="262"/>
      <c r="BE747" s="262"/>
      <c r="BF747" s="262"/>
      <c r="BG747" s="262"/>
      <c r="BH747" s="262"/>
      <c r="BI747" s="262"/>
      <c r="BJ747" s="262"/>
      <c r="BK747" s="262"/>
      <c r="BL747" s="262"/>
      <c r="BM747" s="262"/>
      <c r="BN747" s="262"/>
      <c r="BO747" s="262"/>
      <c r="BP747" s="262"/>
      <c r="BQ747" s="262"/>
      <c r="BR747" s="262"/>
      <c r="BS747" s="262"/>
      <c r="BT747" s="262"/>
      <c r="BU747" s="262"/>
      <c r="BV747" s="262"/>
      <c r="BW747" s="262"/>
      <c r="BX747" s="262"/>
      <c r="BY747" s="262"/>
      <c r="BZ747" s="262"/>
      <c r="CA747" s="262"/>
      <c r="CB747" s="262"/>
      <c r="CC747" s="262"/>
      <c r="CD747" s="262"/>
      <c r="CE747" s="262"/>
      <c r="CF747" s="262"/>
      <c r="CG747" s="262"/>
      <c r="CH747" s="262"/>
      <c r="CI747" s="262"/>
      <c r="CJ747" s="262"/>
      <c r="CK747" s="262"/>
      <c r="CL747" s="262"/>
      <c r="CM747" s="262"/>
      <c r="CN747" s="262"/>
      <c r="CO747" s="262"/>
      <c r="CP747" s="262"/>
      <c r="CQ747" s="262"/>
      <c r="CR747" s="262"/>
      <c r="CS747" s="262"/>
      <c r="CT747" s="262"/>
      <c r="CU747" s="262"/>
      <c r="CV747" s="262"/>
    </row>
    <row r="748" spans="33:100">
      <c r="AG748" s="262"/>
      <c r="AH748" s="262"/>
      <c r="AI748" s="262"/>
      <c r="AJ748" s="262"/>
      <c r="AK748" s="262"/>
      <c r="AL748" s="262"/>
      <c r="AM748" s="262"/>
      <c r="AN748" s="262"/>
      <c r="AO748" s="262"/>
      <c r="AP748" s="262"/>
      <c r="AQ748" s="262"/>
      <c r="AR748" s="262"/>
      <c r="AS748" s="262"/>
      <c r="AT748" s="262"/>
      <c r="AU748" s="262"/>
      <c r="AV748" s="262"/>
      <c r="AW748" s="262"/>
      <c r="AX748" s="262"/>
      <c r="AY748" s="262"/>
      <c r="AZ748" s="262"/>
      <c r="BA748" s="262"/>
      <c r="BB748" s="262"/>
      <c r="BC748" s="262"/>
      <c r="BD748" s="262"/>
      <c r="BE748" s="262"/>
      <c r="BF748" s="262"/>
      <c r="BG748" s="262"/>
      <c r="BH748" s="262"/>
      <c r="BI748" s="262"/>
      <c r="BJ748" s="262"/>
      <c r="BK748" s="262"/>
      <c r="BL748" s="262"/>
      <c r="BM748" s="262"/>
      <c r="BN748" s="262"/>
      <c r="BO748" s="262"/>
      <c r="BP748" s="262"/>
      <c r="BQ748" s="262"/>
      <c r="BR748" s="262"/>
      <c r="BS748" s="262"/>
      <c r="BT748" s="262"/>
      <c r="BU748" s="262"/>
      <c r="BV748" s="262"/>
      <c r="BW748" s="262"/>
      <c r="BX748" s="262"/>
      <c r="BY748" s="262"/>
      <c r="BZ748" s="262"/>
      <c r="CA748" s="262"/>
      <c r="CB748" s="262"/>
      <c r="CC748" s="262"/>
      <c r="CD748" s="262"/>
      <c r="CE748" s="262"/>
      <c r="CF748" s="262"/>
      <c r="CG748" s="262"/>
      <c r="CH748" s="262"/>
      <c r="CI748" s="262"/>
      <c r="CJ748" s="262"/>
      <c r="CK748" s="262"/>
      <c r="CL748" s="262"/>
      <c r="CM748" s="262"/>
      <c r="CN748" s="262"/>
      <c r="CO748" s="262"/>
      <c r="CP748" s="262"/>
      <c r="CQ748" s="262"/>
      <c r="CR748" s="262"/>
      <c r="CS748" s="262"/>
      <c r="CT748" s="262"/>
      <c r="CU748" s="262"/>
      <c r="CV748" s="262"/>
    </row>
    <row r="749" spans="33:100">
      <c r="AG749" s="262"/>
      <c r="AH749" s="262"/>
      <c r="AI749" s="262"/>
      <c r="AJ749" s="262"/>
      <c r="AK749" s="262"/>
      <c r="AL749" s="262"/>
      <c r="AM749" s="262"/>
      <c r="AN749" s="262"/>
      <c r="AO749" s="262"/>
      <c r="AP749" s="262"/>
      <c r="AQ749" s="262"/>
      <c r="AR749" s="262"/>
      <c r="AS749" s="262"/>
      <c r="AT749" s="262"/>
      <c r="AU749" s="262"/>
      <c r="AV749" s="262"/>
      <c r="AW749" s="262"/>
      <c r="AX749" s="262"/>
      <c r="AY749" s="262"/>
      <c r="AZ749" s="262"/>
      <c r="BA749" s="262"/>
      <c r="BB749" s="262"/>
      <c r="BC749" s="262"/>
      <c r="BD749" s="262"/>
      <c r="BE749" s="262"/>
      <c r="BF749" s="262"/>
      <c r="BG749" s="262"/>
      <c r="BH749" s="262"/>
      <c r="BI749" s="262"/>
      <c r="BJ749" s="262"/>
      <c r="BK749" s="262"/>
      <c r="BL749" s="262"/>
      <c r="BM749" s="262"/>
      <c r="BN749" s="262"/>
      <c r="BO749" s="262"/>
      <c r="BP749" s="262"/>
      <c r="BQ749" s="262"/>
      <c r="BR749" s="262"/>
      <c r="BS749" s="262"/>
      <c r="BT749" s="262"/>
      <c r="BU749" s="262"/>
      <c r="BV749" s="262"/>
      <c r="BW749" s="262"/>
      <c r="BX749" s="262"/>
      <c r="BY749" s="262"/>
      <c r="BZ749" s="262"/>
      <c r="CA749" s="262"/>
      <c r="CB749" s="262"/>
      <c r="CC749" s="262"/>
      <c r="CD749" s="262"/>
      <c r="CE749" s="262"/>
      <c r="CF749" s="262"/>
      <c r="CG749" s="262"/>
      <c r="CH749" s="262"/>
      <c r="CI749" s="262"/>
      <c r="CJ749" s="262"/>
      <c r="CK749" s="262"/>
      <c r="CL749" s="262"/>
      <c r="CM749" s="262"/>
      <c r="CN749" s="262"/>
      <c r="CO749" s="262"/>
      <c r="CP749" s="262"/>
      <c r="CQ749" s="262"/>
      <c r="CR749" s="262"/>
      <c r="CS749" s="262"/>
      <c r="CT749" s="262"/>
      <c r="CU749" s="262"/>
      <c r="CV749" s="262"/>
    </row>
    <row r="750" spans="33:100">
      <c r="AG750" s="262"/>
      <c r="AH750" s="262"/>
      <c r="AI750" s="262"/>
      <c r="AJ750" s="262"/>
      <c r="AK750" s="262"/>
      <c r="AL750" s="262"/>
      <c r="AM750" s="262"/>
      <c r="AN750" s="262"/>
      <c r="AO750" s="262"/>
      <c r="AP750" s="262"/>
      <c r="AQ750" s="262"/>
      <c r="AR750" s="262"/>
      <c r="AS750" s="262"/>
      <c r="AT750" s="262"/>
      <c r="AU750" s="262"/>
      <c r="AV750" s="262"/>
      <c r="AW750" s="262"/>
      <c r="AX750" s="262"/>
      <c r="AY750" s="262"/>
      <c r="AZ750" s="262"/>
      <c r="BA750" s="262"/>
      <c r="BB750" s="262"/>
      <c r="BC750" s="262"/>
      <c r="BD750" s="262"/>
      <c r="BE750" s="262"/>
      <c r="BF750" s="262"/>
      <c r="BG750" s="262"/>
      <c r="BH750" s="262"/>
      <c r="BI750" s="262"/>
      <c r="BJ750" s="262"/>
      <c r="BK750" s="262"/>
      <c r="BL750" s="262"/>
      <c r="BM750" s="262"/>
      <c r="BN750" s="262"/>
      <c r="BO750" s="262"/>
      <c r="BP750" s="262"/>
      <c r="BQ750" s="262"/>
      <c r="BR750" s="262"/>
      <c r="BS750" s="262"/>
      <c r="BT750" s="262"/>
      <c r="BU750" s="262"/>
      <c r="BV750" s="262"/>
      <c r="BW750" s="262"/>
      <c r="BX750" s="262"/>
      <c r="BY750" s="262"/>
      <c r="BZ750" s="262"/>
      <c r="CA750" s="262"/>
      <c r="CB750" s="262"/>
      <c r="CC750" s="262"/>
      <c r="CD750" s="262"/>
      <c r="CE750" s="262"/>
      <c r="CF750" s="262"/>
      <c r="CG750" s="262"/>
      <c r="CH750" s="262"/>
      <c r="CI750" s="262"/>
      <c r="CJ750" s="262"/>
      <c r="CK750" s="262"/>
      <c r="CL750" s="262"/>
      <c r="CM750" s="262"/>
      <c r="CN750" s="262"/>
      <c r="CO750" s="262"/>
      <c r="CP750" s="262"/>
      <c r="CQ750" s="262"/>
      <c r="CR750" s="262"/>
      <c r="CS750" s="262"/>
      <c r="CT750" s="262"/>
      <c r="CU750" s="262"/>
      <c r="CV750" s="262"/>
    </row>
    <row r="751" spans="33:100">
      <c r="AG751" s="262"/>
      <c r="AH751" s="262"/>
      <c r="AI751" s="262"/>
      <c r="AJ751" s="262"/>
      <c r="AK751" s="262"/>
      <c r="AL751" s="262"/>
      <c r="AM751" s="262"/>
      <c r="AN751" s="262"/>
      <c r="AO751" s="262"/>
      <c r="AP751" s="262"/>
      <c r="AQ751" s="262"/>
      <c r="AR751" s="262"/>
      <c r="AS751" s="262"/>
      <c r="AT751" s="262"/>
      <c r="AU751" s="262"/>
      <c r="AV751" s="262"/>
      <c r="AW751" s="262"/>
      <c r="AX751" s="262"/>
      <c r="AY751" s="262"/>
      <c r="AZ751" s="262"/>
      <c r="BA751" s="262"/>
      <c r="BB751" s="262"/>
      <c r="BC751" s="262"/>
      <c r="BD751" s="262"/>
      <c r="BE751" s="262"/>
      <c r="BF751" s="262"/>
      <c r="BG751" s="262"/>
      <c r="BH751" s="262"/>
      <c r="BI751" s="262"/>
      <c r="BJ751" s="262"/>
      <c r="BK751" s="262"/>
      <c r="BL751" s="262"/>
      <c r="BM751" s="262"/>
      <c r="BN751" s="262"/>
      <c r="BO751" s="262"/>
      <c r="BP751" s="262"/>
      <c r="BQ751" s="262"/>
      <c r="BR751" s="262"/>
      <c r="BS751" s="262"/>
      <c r="BT751" s="262"/>
      <c r="BU751" s="262"/>
      <c r="BV751" s="262"/>
      <c r="BW751" s="262"/>
      <c r="BX751" s="262"/>
      <c r="BY751" s="262"/>
      <c r="BZ751" s="262"/>
      <c r="CA751" s="262"/>
      <c r="CB751" s="262"/>
      <c r="CC751" s="262"/>
      <c r="CD751" s="262"/>
      <c r="CE751" s="262"/>
      <c r="CF751" s="262"/>
      <c r="CG751" s="262"/>
      <c r="CH751" s="262"/>
      <c r="CI751" s="262"/>
      <c r="CJ751" s="262"/>
      <c r="CK751" s="262"/>
      <c r="CL751" s="262"/>
      <c r="CM751" s="262"/>
      <c r="CN751" s="262"/>
      <c r="CO751" s="262"/>
      <c r="CP751" s="262"/>
      <c r="CQ751" s="262"/>
      <c r="CR751" s="262"/>
      <c r="CS751" s="262"/>
      <c r="CT751" s="262"/>
      <c r="CU751" s="262"/>
      <c r="CV751" s="262"/>
    </row>
    <row r="752" spans="33:100">
      <c r="AG752" s="262"/>
      <c r="AH752" s="262"/>
      <c r="AI752" s="262"/>
      <c r="AJ752" s="262"/>
      <c r="AK752" s="262"/>
      <c r="AL752" s="262"/>
      <c r="AM752" s="262"/>
      <c r="AN752" s="262"/>
      <c r="AO752" s="262"/>
      <c r="AP752" s="262"/>
      <c r="AQ752" s="262"/>
      <c r="AR752" s="262"/>
      <c r="AS752" s="262"/>
      <c r="AT752" s="262"/>
      <c r="AU752" s="262"/>
      <c r="AV752" s="262"/>
      <c r="AW752" s="262"/>
      <c r="AX752" s="262"/>
      <c r="AY752" s="262"/>
      <c r="AZ752" s="262"/>
      <c r="BA752" s="262"/>
      <c r="BB752" s="262"/>
      <c r="BC752" s="262"/>
      <c r="BD752" s="262"/>
      <c r="BE752" s="262"/>
      <c r="BF752" s="262"/>
      <c r="BG752" s="262"/>
      <c r="BH752" s="262"/>
      <c r="BI752" s="262"/>
      <c r="BJ752" s="262"/>
      <c r="BK752" s="262"/>
      <c r="BL752" s="262"/>
      <c r="BM752" s="262"/>
      <c r="BN752" s="262"/>
      <c r="BO752" s="262"/>
      <c r="BP752" s="262"/>
      <c r="BQ752" s="262"/>
      <c r="BR752" s="262"/>
      <c r="BS752" s="262"/>
      <c r="BT752" s="262"/>
      <c r="BU752" s="262"/>
      <c r="BV752" s="262"/>
      <c r="BW752" s="262"/>
      <c r="BX752" s="262"/>
      <c r="BY752" s="262"/>
      <c r="BZ752" s="262"/>
      <c r="CA752" s="262"/>
      <c r="CB752" s="262"/>
      <c r="CC752" s="262"/>
      <c r="CD752" s="262"/>
      <c r="CE752" s="262"/>
      <c r="CF752" s="262"/>
      <c r="CG752" s="262"/>
      <c r="CH752" s="262"/>
      <c r="CI752" s="262"/>
      <c r="CJ752" s="262"/>
      <c r="CK752" s="262"/>
      <c r="CL752" s="262"/>
      <c r="CM752" s="262"/>
      <c r="CN752" s="262"/>
      <c r="CO752" s="262"/>
      <c r="CP752" s="262"/>
      <c r="CQ752" s="262"/>
      <c r="CR752" s="262"/>
      <c r="CS752" s="262"/>
      <c r="CT752" s="262"/>
      <c r="CU752" s="262"/>
      <c r="CV752" s="262"/>
    </row>
    <row r="753" spans="33:100">
      <c r="AG753" s="262"/>
      <c r="AH753" s="262"/>
      <c r="AI753" s="262"/>
      <c r="AJ753" s="262"/>
      <c r="AK753" s="262"/>
      <c r="AL753" s="262"/>
      <c r="AM753" s="262"/>
      <c r="AN753" s="262"/>
      <c r="AO753" s="262"/>
      <c r="AP753" s="262"/>
      <c r="AQ753" s="262"/>
      <c r="AR753" s="262"/>
      <c r="AS753" s="262"/>
      <c r="AT753" s="262"/>
      <c r="AU753" s="262"/>
      <c r="AV753" s="262"/>
      <c r="AW753" s="262"/>
      <c r="AX753" s="262"/>
      <c r="AY753" s="262"/>
      <c r="AZ753" s="262"/>
      <c r="BA753" s="262"/>
      <c r="BB753" s="262"/>
      <c r="BC753" s="262"/>
      <c r="BD753" s="262"/>
      <c r="BE753" s="262"/>
      <c r="BF753" s="262"/>
      <c r="BG753" s="262"/>
      <c r="BH753" s="262"/>
      <c r="BI753" s="262"/>
      <c r="BJ753" s="262"/>
      <c r="BK753" s="262"/>
      <c r="BL753" s="262"/>
      <c r="BM753" s="262"/>
      <c r="BN753" s="262"/>
      <c r="BO753" s="262"/>
      <c r="BP753" s="262"/>
      <c r="BQ753" s="262"/>
      <c r="BR753" s="262"/>
      <c r="BS753" s="262"/>
      <c r="BT753" s="262"/>
      <c r="BU753" s="262"/>
      <c r="BV753" s="262"/>
      <c r="BW753" s="262"/>
      <c r="BX753" s="262"/>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c r="CU753" s="262"/>
      <c r="CV753" s="262"/>
    </row>
    <row r="754" spans="33:100">
      <c r="AG754" s="262"/>
      <c r="AH754" s="262"/>
      <c r="AI754" s="262"/>
      <c r="AJ754" s="262"/>
      <c r="AK754" s="262"/>
      <c r="AL754" s="262"/>
      <c r="AM754" s="262"/>
      <c r="AN754" s="262"/>
      <c r="AO754" s="262"/>
      <c r="AP754" s="262"/>
      <c r="AQ754" s="262"/>
      <c r="AR754" s="262"/>
      <c r="AS754" s="262"/>
      <c r="AT754" s="262"/>
      <c r="AU754" s="262"/>
      <c r="AV754" s="262"/>
      <c r="AW754" s="262"/>
      <c r="AX754" s="262"/>
      <c r="AY754" s="262"/>
      <c r="AZ754" s="262"/>
      <c r="BA754" s="262"/>
      <c r="BB754" s="262"/>
      <c r="BC754" s="262"/>
      <c r="BD754" s="262"/>
      <c r="BE754" s="262"/>
      <c r="BF754" s="262"/>
      <c r="BG754" s="262"/>
      <c r="BH754" s="262"/>
      <c r="BI754" s="262"/>
      <c r="BJ754" s="262"/>
      <c r="BK754" s="262"/>
      <c r="BL754" s="262"/>
      <c r="BM754" s="262"/>
      <c r="BN754" s="262"/>
      <c r="BO754" s="262"/>
      <c r="BP754" s="262"/>
      <c r="BQ754" s="262"/>
      <c r="BR754" s="262"/>
      <c r="BS754" s="262"/>
      <c r="BT754" s="262"/>
      <c r="BU754" s="262"/>
      <c r="BV754" s="262"/>
      <c r="BW754" s="262"/>
      <c r="BX754" s="262"/>
      <c r="BY754" s="262"/>
      <c r="BZ754" s="262"/>
      <c r="CA754" s="262"/>
      <c r="CB754" s="262"/>
      <c r="CC754" s="262"/>
      <c r="CD754" s="262"/>
      <c r="CE754" s="262"/>
      <c r="CF754" s="262"/>
      <c r="CG754" s="262"/>
      <c r="CH754" s="262"/>
      <c r="CI754" s="262"/>
      <c r="CJ754" s="262"/>
      <c r="CK754" s="262"/>
      <c r="CL754" s="262"/>
      <c r="CM754" s="262"/>
      <c r="CN754" s="262"/>
      <c r="CO754" s="262"/>
      <c r="CP754" s="262"/>
      <c r="CQ754" s="262"/>
      <c r="CR754" s="262"/>
      <c r="CS754" s="262"/>
      <c r="CT754" s="262"/>
      <c r="CU754" s="262"/>
      <c r="CV754" s="262"/>
    </row>
    <row r="755" spans="33:100">
      <c r="AG755" s="262"/>
      <c r="AH755" s="262"/>
      <c r="AI755" s="262"/>
      <c r="AJ755" s="262"/>
      <c r="AK755" s="262"/>
      <c r="AL755" s="262"/>
      <c r="AM755" s="262"/>
      <c r="AN755" s="262"/>
      <c r="AO755" s="262"/>
      <c r="AP755" s="262"/>
      <c r="AQ755" s="262"/>
      <c r="AR755" s="262"/>
      <c r="AS755" s="262"/>
      <c r="AT755" s="262"/>
      <c r="AU755" s="262"/>
      <c r="AV755" s="262"/>
      <c r="AW755" s="262"/>
      <c r="AX755" s="262"/>
      <c r="AY755" s="262"/>
      <c r="AZ755" s="262"/>
      <c r="BA755" s="262"/>
      <c r="BB755" s="262"/>
      <c r="BC755" s="262"/>
      <c r="BD755" s="262"/>
      <c r="BE755" s="262"/>
      <c r="BF755" s="262"/>
      <c r="BG755" s="262"/>
      <c r="BH755" s="262"/>
      <c r="BI755" s="262"/>
      <c r="BJ755" s="262"/>
      <c r="BK755" s="262"/>
      <c r="BL755" s="262"/>
      <c r="BM755" s="262"/>
      <c r="BN755" s="262"/>
      <c r="BO755" s="262"/>
      <c r="BP755" s="262"/>
      <c r="BQ755" s="262"/>
      <c r="BR755" s="262"/>
      <c r="BS755" s="262"/>
      <c r="BT755" s="262"/>
      <c r="BU755" s="262"/>
      <c r="BV755" s="262"/>
      <c r="BW755" s="262"/>
      <c r="BX755" s="262"/>
      <c r="BY755" s="262"/>
      <c r="BZ755" s="262"/>
      <c r="CA755" s="262"/>
      <c r="CB755" s="262"/>
      <c r="CC755" s="262"/>
      <c r="CD755" s="262"/>
      <c r="CE755" s="262"/>
      <c r="CF755" s="262"/>
      <c r="CG755" s="262"/>
      <c r="CH755" s="262"/>
      <c r="CI755" s="262"/>
      <c r="CJ755" s="262"/>
      <c r="CK755" s="262"/>
      <c r="CL755" s="262"/>
      <c r="CM755" s="262"/>
      <c r="CN755" s="262"/>
      <c r="CO755" s="262"/>
      <c r="CP755" s="262"/>
      <c r="CQ755" s="262"/>
      <c r="CR755" s="262"/>
      <c r="CS755" s="262"/>
      <c r="CT755" s="262"/>
      <c r="CU755" s="262"/>
      <c r="CV755" s="262"/>
    </row>
    <row r="756" spans="33:100">
      <c r="AG756" s="262"/>
      <c r="AH756" s="262"/>
      <c r="AI756" s="262"/>
      <c r="AJ756" s="262"/>
      <c r="AK756" s="262"/>
      <c r="AL756" s="262"/>
      <c r="AM756" s="262"/>
      <c r="AN756" s="262"/>
      <c r="AO756" s="262"/>
      <c r="AP756" s="262"/>
      <c r="AQ756" s="262"/>
      <c r="AR756" s="262"/>
      <c r="AS756" s="262"/>
      <c r="AT756" s="262"/>
      <c r="AU756" s="262"/>
      <c r="AV756" s="262"/>
      <c r="AW756" s="262"/>
      <c r="AX756" s="262"/>
      <c r="AY756" s="262"/>
      <c r="AZ756" s="262"/>
      <c r="BA756" s="262"/>
      <c r="BB756" s="262"/>
      <c r="BC756" s="262"/>
      <c r="BD756" s="262"/>
      <c r="BE756" s="262"/>
      <c r="BF756" s="262"/>
      <c r="BG756" s="262"/>
      <c r="BH756" s="262"/>
      <c r="BI756" s="262"/>
      <c r="BJ756" s="262"/>
      <c r="BK756" s="262"/>
      <c r="BL756" s="262"/>
      <c r="BM756" s="262"/>
      <c r="BN756" s="262"/>
      <c r="BO756" s="262"/>
      <c r="BP756" s="262"/>
      <c r="BQ756" s="262"/>
      <c r="BR756" s="262"/>
      <c r="BS756" s="262"/>
      <c r="BT756" s="262"/>
      <c r="BU756" s="262"/>
      <c r="BV756" s="262"/>
      <c r="BW756" s="262"/>
      <c r="BX756" s="262"/>
      <c r="BY756" s="262"/>
      <c r="BZ756" s="262"/>
      <c r="CA756" s="262"/>
      <c r="CB756" s="262"/>
      <c r="CC756" s="262"/>
      <c r="CD756" s="262"/>
      <c r="CE756" s="262"/>
      <c r="CF756" s="262"/>
      <c r="CG756" s="262"/>
      <c r="CH756" s="262"/>
      <c r="CI756" s="262"/>
      <c r="CJ756" s="262"/>
      <c r="CK756" s="262"/>
      <c r="CL756" s="262"/>
      <c r="CM756" s="262"/>
      <c r="CN756" s="262"/>
      <c r="CO756" s="262"/>
      <c r="CP756" s="262"/>
      <c r="CQ756" s="262"/>
      <c r="CR756" s="262"/>
      <c r="CS756" s="262"/>
      <c r="CT756" s="262"/>
      <c r="CU756" s="262"/>
      <c r="CV756" s="262"/>
    </row>
    <row r="757" spans="33:100">
      <c r="AG757" s="262"/>
      <c r="AH757" s="262"/>
      <c r="AI757" s="262"/>
      <c r="AJ757" s="262"/>
      <c r="AK757" s="262"/>
      <c r="AL757" s="262"/>
      <c r="AM757" s="262"/>
      <c r="AN757" s="262"/>
      <c r="AO757" s="262"/>
      <c r="AP757" s="262"/>
      <c r="AQ757" s="262"/>
      <c r="AR757" s="262"/>
      <c r="AS757" s="262"/>
      <c r="AT757" s="262"/>
      <c r="AU757" s="262"/>
      <c r="AV757" s="262"/>
      <c r="AW757" s="262"/>
      <c r="AX757" s="262"/>
      <c r="AY757" s="262"/>
      <c r="AZ757" s="262"/>
      <c r="BA757" s="262"/>
      <c r="BB757" s="262"/>
      <c r="BC757" s="262"/>
      <c r="BD757" s="262"/>
      <c r="BE757" s="262"/>
      <c r="BF757" s="262"/>
      <c r="BG757" s="262"/>
      <c r="BH757" s="262"/>
      <c r="BI757" s="262"/>
      <c r="BJ757" s="262"/>
      <c r="BK757" s="262"/>
      <c r="BL757" s="262"/>
      <c r="BM757" s="262"/>
      <c r="BN757" s="262"/>
      <c r="BO757" s="262"/>
      <c r="BP757" s="262"/>
      <c r="BQ757" s="262"/>
      <c r="BR757" s="262"/>
      <c r="BS757" s="262"/>
      <c r="BT757" s="262"/>
      <c r="BU757" s="262"/>
      <c r="BV757" s="262"/>
      <c r="BW757" s="262"/>
      <c r="BX757" s="262"/>
      <c r="BY757" s="262"/>
      <c r="BZ757" s="262"/>
      <c r="CA757" s="262"/>
      <c r="CB757" s="262"/>
      <c r="CC757" s="262"/>
      <c r="CD757" s="262"/>
      <c r="CE757" s="262"/>
      <c r="CF757" s="262"/>
      <c r="CG757" s="262"/>
      <c r="CH757" s="262"/>
      <c r="CI757" s="262"/>
      <c r="CJ757" s="262"/>
      <c r="CK757" s="262"/>
      <c r="CL757" s="262"/>
      <c r="CM757" s="262"/>
      <c r="CN757" s="262"/>
      <c r="CO757" s="262"/>
      <c r="CP757" s="262"/>
      <c r="CQ757" s="262"/>
      <c r="CR757" s="262"/>
      <c r="CS757" s="262"/>
      <c r="CT757" s="262"/>
      <c r="CU757" s="262"/>
      <c r="CV757" s="262"/>
    </row>
    <row r="758" spans="33:100">
      <c r="AG758" s="262"/>
      <c r="AH758" s="262"/>
      <c r="AI758" s="262"/>
      <c r="AJ758" s="262"/>
      <c r="AK758" s="262"/>
      <c r="AL758" s="262"/>
      <c r="AM758" s="262"/>
      <c r="AN758" s="262"/>
      <c r="AO758" s="262"/>
      <c r="AP758" s="262"/>
      <c r="AQ758" s="262"/>
      <c r="AR758" s="262"/>
      <c r="AS758" s="262"/>
      <c r="AT758" s="262"/>
      <c r="AU758" s="262"/>
      <c r="AV758" s="262"/>
      <c r="AW758" s="262"/>
      <c r="AX758" s="262"/>
      <c r="AY758" s="262"/>
      <c r="AZ758" s="262"/>
      <c r="BA758" s="262"/>
      <c r="BB758" s="262"/>
      <c r="BC758" s="262"/>
      <c r="BD758" s="262"/>
      <c r="BE758" s="262"/>
      <c r="BF758" s="262"/>
      <c r="BG758" s="262"/>
      <c r="BH758" s="262"/>
      <c r="BI758" s="262"/>
      <c r="BJ758" s="262"/>
      <c r="BK758" s="262"/>
      <c r="BL758" s="262"/>
      <c r="BM758" s="262"/>
      <c r="BN758" s="262"/>
      <c r="BO758" s="262"/>
      <c r="BP758" s="262"/>
      <c r="BQ758" s="262"/>
      <c r="BR758" s="262"/>
      <c r="BS758" s="262"/>
      <c r="BT758" s="262"/>
      <c r="BU758" s="262"/>
      <c r="BV758" s="262"/>
      <c r="BW758" s="262"/>
      <c r="BX758" s="262"/>
      <c r="BY758" s="262"/>
      <c r="BZ758" s="262"/>
      <c r="CA758" s="262"/>
      <c r="CB758" s="262"/>
      <c r="CC758" s="262"/>
      <c r="CD758" s="262"/>
      <c r="CE758" s="262"/>
      <c r="CF758" s="262"/>
      <c r="CG758" s="262"/>
      <c r="CH758" s="262"/>
      <c r="CI758" s="262"/>
      <c r="CJ758" s="262"/>
      <c r="CK758" s="262"/>
      <c r="CL758" s="262"/>
      <c r="CM758" s="262"/>
      <c r="CN758" s="262"/>
      <c r="CO758" s="262"/>
      <c r="CP758" s="262"/>
      <c r="CQ758" s="262"/>
      <c r="CR758" s="262"/>
      <c r="CS758" s="262"/>
      <c r="CT758" s="262"/>
      <c r="CU758" s="262"/>
      <c r="CV758" s="262"/>
    </row>
    <row r="759" spans="33:100">
      <c r="AG759" s="262"/>
      <c r="AH759" s="262"/>
      <c r="AI759" s="262"/>
      <c r="AJ759" s="262"/>
      <c r="AK759" s="262"/>
      <c r="AL759" s="262"/>
      <c r="AM759" s="262"/>
      <c r="AN759" s="262"/>
      <c r="AO759" s="262"/>
      <c r="AP759" s="262"/>
      <c r="AQ759" s="262"/>
      <c r="AR759" s="262"/>
      <c r="AS759" s="262"/>
      <c r="AT759" s="262"/>
      <c r="AU759" s="262"/>
      <c r="AV759" s="262"/>
      <c r="AW759" s="262"/>
      <c r="AX759" s="262"/>
      <c r="AY759" s="262"/>
      <c r="AZ759" s="262"/>
      <c r="BA759" s="262"/>
      <c r="BB759" s="262"/>
      <c r="BC759" s="262"/>
      <c r="BD759" s="262"/>
      <c r="BE759" s="262"/>
      <c r="BF759" s="262"/>
      <c r="BG759" s="262"/>
      <c r="BH759" s="262"/>
      <c r="BI759" s="262"/>
      <c r="BJ759" s="262"/>
      <c r="BK759" s="262"/>
      <c r="BL759" s="262"/>
      <c r="BM759" s="262"/>
      <c r="BN759" s="262"/>
      <c r="BO759" s="262"/>
      <c r="BP759" s="262"/>
      <c r="BQ759" s="262"/>
      <c r="BR759" s="262"/>
      <c r="BS759" s="262"/>
      <c r="BT759" s="262"/>
      <c r="BU759" s="262"/>
      <c r="BV759" s="262"/>
      <c r="BW759" s="262"/>
      <c r="BX759" s="262"/>
      <c r="BY759" s="262"/>
      <c r="BZ759" s="262"/>
      <c r="CA759" s="262"/>
      <c r="CB759" s="262"/>
      <c r="CC759" s="262"/>
      <c r="CD759" s="262"/>
      <c r="CE759" s="262"/>
      <c r="CF759" s="262"/>
      <c r="CG759" s="262"/>
      <c r="CH759" s="262"/>
      <c r="CI759" s="262"/>
      <c r="CJ759" s="262"/>
      <c r="CK759" s="262"/>
      <c r="CL759" s="262"/>
      <c r="CM759" s="262"/>
      <c r="CN759" s="262"/>
      <c r="CO759" s="262"/>
      <c r="CP759" s="262"/>
      <c r="CQ759" s="262"/>
      <c r="CR759" s="262"/>
      <c r="CS759" s="262"/>
      <c r="CT759" s="262"/>
      <c r="CU759" s="262"/>
      <c r="CV759" s="262"/>
    </row>
    <row r="760" spans="33:100">
      <c r="AG760" s="262"/>
      <c r="AH760" s="262"/>
      <c r="AI760" s="262"/>
      <c r="AJ760" s="262"/>
      <c r="AK760" s="262"/>
      <c r="AL760" s="262"/>
      <c r="AM760" s="262"/>
      <c r="AN760" s="262"/>
      <c r="AO760" s="262"/>
      <c r="AP760" s="262"/>
      <c r="AQ760" s="262"/>
      <c r="AR760" s="262"/>
      <c r="AS760" s="262"/>
      <c r="AT760" s="262"/>
      <c r="AU760" s="262"/>
      <c r="AV760" s="262"/>
      <c r="AW760" s="262"/>
      <c r="AX760" s="262"/>
      <c r="AY760" s="262"/>
      <c r="AZ760" s="262"/>
      <c r="BA760" s="262"/>
      <c r="BB760" s="262"/>
      <c r="BC760" s="262"/>
      <c r="BD760" s="262"/>
      <c r="BE760" s="262"/>
      <c r="BF760" s="262"/>
      <c r="BG760" s="262"/>
      <c r="BH760" s="262"/>
      <c r="BI760" s="262"/>
      <c r="BJ760" s="262"/>
      <c r="BK760" s="262"/>
      <c r="BL760" s="262"/>
      <c r="BM760" s="262"/>
      <c r="BN760" s="262"/>
      <c r="BO760" s="262"/>
      <c r="BP760" s="262"/>
      <c r="BQ760" s="262"/>
      <c r="BR760" s="262"/>
      <c r="BS760" s="262"/>
      <c r="BT760" s="262"/>
      <c r="BU760" s="262"/>
      <c r="BV760" s="262"/>
      <c r="BW760" s="262"/>
      <c r="BX760" s="262"/>
      <c r="BY760" s="262"/>
      <c r="BZ760" s="262"/>
      <c r="CA760" s="262"/>
      <c r="CB760" s="262"/>
      <c r="CC760" s="262"/>
      <c r="CD760" s="262"/>
      <c r="CE760" s="262"/>
      <c r="CF760" s="262"/>
      <c r="CG760" s="262"/>
      <c r="CH760" s="262"/>
      <c r="CI760" s="262"/>
      <c r="CJ760" s="262"/>
      <c r="CK760" s="262"/>
      <c r="CL760" s="262"/>
      <c r="CM760" s="262"/>
      <c r="CN760" s="262"/>
      <c r="CO760" s="262"/>
      <c r="CP760" s="262"/>
      <c r="CQ760" s="262"/>
      <c r="CR760" s="262"/>
      <c r="CS760" s="262"/>
      <c r="CT760" s="262"/>
      <c r="CU760" s="262"/>
      <c r="CV760" s="262"/>
    </row>
    <row r="761" spans="33:100">
      <c r="AG761" s="262"/>
      <c r="AH761" s="262"/>
      <c r="AI761" s="262"/>
      <c r="AJ761" s="262"/>
      <c r="AK761" s="262"/>
      <c r="AL761" s="262"/>
      <c r="AM761" s="262"/>
      <c r="AN761" s="262"/>
      <c r="AO761" s="262"/>
      <c r="AP761" s="262"/>
      <c r="AQ761" s="262"/>
      <c r="AR761" s="262"/>
      <c r="AS761" s="262"/>
      <c r="AT761" s="262"/>
      <c r="AU761" s="262"/>
      <c r="AV761" s="262"/>
      <c r="AW761" s="262"/>
      <c r="AX761" s="262"/>
      <c r="AY761" s="262"/>
      <c r="AZ761" s="262"/>
      <c r="BA761" s="262"/>
      <c r="BB761" s="262"/>
      <c r="BC761" s="262"/>
      <c r="BD761" s="262"/>
      <c r="BE761" s="262"/>
      <c r="BF761" s="262"/>
      <c r="BG761" s="262"/>
      <c r="BH761" s="262"/>
      <c r="BI761" s="262"/>
      <c r="BJ761" s="262"/>
      <c r="BK761" s="262"/>
      <c r="BL761" s="262"/>
      <c r="BM761" s="262"/>
      <c r="BN761" s="262"/>
      <c r="BO761" s="262"/>
      <c r="BP761" s="262"/>
      <c r="BQ761" s="262"/>
      <c r="BR761" s="262"/>
      <c r="BS761" s="262"/>
      <c r="BT761" s="262"/>
      <c r="BU761" s="262"/>
      <c r="BV761" s="262"/>
      <c r="BW761" s="262"/>
      <c r="BX761" s="262"/>
      <c r="BY761" s="262"/>
      <c r="BZ761" s="262"/>
      <c r="CA761" s="262"/>
      <c r="CB761" s="262"/>
      <c r="CC761" s="262"/>
      <c r="CD761" s="262"/>
      <c r="CE761" s="262"/>
      <c r="CF761" s="262"/>
      <c r="CG761" s="262"/>
      <c r="CH761" s="262"/>
      <c r="CI761" s="262"/>
      <c r="CJ761" s="262"/>
      <c r="CK761" s="262"/>
      <c r="CL761" s="262"/>
      <c r="CM761" s="262"/>
      <c r="CN761" s="262"/>
      <c r="CO761" s="262"/>
      <c r="CP761" s="262"/>
      <c r="CQ761" s="262"/>
      <c r="CR761" s="262"/>
      <c r="CS761" s="262"/>
      <c r="CT761" s="262"/>
      <c r="CU761" s="262"/>
      <c r="CV761" s="262"/>
    </row>
    <row r="762" spans="33:100">
      <c r="AG762" s="262"/>
      <c r="AH762" s="262"/>
      <c r="AI762" s="262"/>
      <c r="AJ762" s="262"/>
      <c r="AK762" s="262"/>
      <c r="AL762" s="262"/>
      <c r="AM762" s="262"/>
      <c r="AN762" s="262"/>
      <c r="AO762" s="262"/>
      <c r="AP762" s="262"/>
      <c r="AQ762" s="262"/>
      <c r="AR762" s="262"/>
      <c r="AS762" s="262"/>
      <c r="AT762" s="262"/>
      <c r="AU762" s="262"/>
      <c r="AV762" s="262"/>
      <c r="AW762" s="262"/>
      <c r="AX762" s="262"/>
      <c r="AY762" s="262"/>
      <c r="AZ762" s="262"/>
      <c r="BA762" s="262"/>
      <c r="BB762" s="262"/>
      <c r="BC762" s="262"/>
      <c r="BD762" s="262"/>
      <c r="BE762" s="262"/>
      <c r="BF762" s="262"/>
      <c r="BG762" s="262"/>
      <c r="BH762" s="262"/>
      <c r="BI762" s="262"/>
      <c r="BJ762" s="262"/>
      <c r="BK762" s="262"/>
      <c r="BL762" s="262"/>
      <c r="BM762" s="262"/>
      <c r="BN762" s="262"/>
      <c r="BO762" s="262"/>
      <c r="BP762" s="262"/>
      <c r="BQ762" s="262"/>
      <c r="BR762" s="262"/>
      <c r="BS762" s="262"/>
      <c r="BT762" s="262"/>
      <c r="BU762" s="262"/>
      <c r="BV762" s="262"/>
      <c r="BW762" s="262"/>
      <c r="BX762" s="262"/>
      <c r="BY762" s="262"/>
      <c r="BZ762" s="262"/>
      <c r="CA762" s="262"/>
      <c r="CB762" s="262"/>
      <c r="CC762" s="262"/>
      <c r="CD762" s="262"/>
      <c r="CE762" s="262"/>
      <c r="CF762" s="262"/>
      <c r="CG762" s="262"/>
      <c r="CH762" s="262"/>
      <c r="CI762" s="262"/>
      <c r="CJ762" s="262"/>
      <c r="CK762" s="262"/>
      <c r="CL762" s="262"/>
      <c r="CM762" s="262"/>
      <c r="CN762" s="262"/>
      <c r="CO762" s="262"/>
      <c r="CP762" s="262"/>
      <c r="CQ762" s="262"/>
      <c r="CR762" s="262"/>
      <c r="CS762" s="262"/>
      <c r="CT762" s="262"/>
      <c r="CU762" s="262"/>
      <c r="CV762" s="262"/>
    </row>
    <row r="763" spans="33:100">
      <c r="AG763" s="262"/>
      <c r="AH763" s="262"/>
      <c r="AI763" s="262"/>
      <c r="AJ763" s="262"/>
      <c r="AK763" s="262"/>
      <c r="AL763" s="262"/>
      <c r="AM763" s="262"/>
      <c r="AN763" s="262"/>
      <c r="AO763" s="262"/>
      <c r="AP763" s="262"/>
      <c r="AQ763" s="262"/>
      <c r="AR763" s="262"/>
      <c r="AS763" s="262"/>
      <c r="AT763" s="262"/>
      <c r="AU763" s="262"/>
      <c r="AV763" s="262"/>
      <c r="AW763" s="262"/>
      <c r="AX763" s="262"/>
      <c r="AY763" s="262"/>
      <c r="AZ763" s="262"/>
      <c r="BA763" s="262"/>
      <c r="BB763" s="262"/>
      <c r="BC763" s="262"/>
      <c r="BD763" s="262"/>
      <c r="BE763" s="262"/>
      <c r="BF763" s="262"/>
      <c r="BG763" s="262"/>
      <c r="BH763" s="262"/>
      <c r="BI763" s="262"/>
      <c r="BJ763" s="262"/>
      <c r="BK763" s="262"/>
      <c r="BL763" s="262"/>
      <c r="BM763" s="262"/>
      <c r="BN763" s="262"/>
      <c r="BO763" s="262"/>
      <c r="BP763" s="262"/>
      <c r="BQ763" s="262"/>
      <c r="BR763" s="262"/>
      <c r="BS763" s="262"/>
      <c r="BT763" s="262"/>
      <c r="BU763" s="262"/>
      <c r="BV763" s="262"/>
      <c r="BW763" s="262"/>
      <c r="BX763" s="262"/>
      <c r="BY763" s="262"/>
      <c r="BZ763" s="262"/>
      <c r="CA763" s="262"/>
      <c r="CB763" s="262"/>
      <c r="CC763" s="262"/>
      <c r="CD763" s="262"/>
      <c r="CE763" s="262"/>
      <c r="CF763" s="262"/>
      <c r="CG763" s="262"/>
      <c r="CH763" s="262"/>
      <c r="CI763" s="262"/>
      <c r="CJ763" s="262"/>
      <c r="CK763" s="262"/>
      <c r="CL763" s="262"/>
      <c r="CM763" s="262"/>
      <c r="CN763" s="262"/>
      <c r="CO763" s="262"/>
      <c r="CP763" s="262"/>
      <c r="CQ763" s="262"/>
      <c r="CR763" s="262"/>
      <c r="CS763" s="262"/>
      <c r="CT763" s="262"/>
      <c r="CU763" s="262"/>
      <c r="CV763" s="262"/>
    </row>
    <row r="764" spans="33:100">
      <c r="AG764" s="262"/>
      <c r="AH764" s="262"/>
      <c r="AI764" s="262"/>
      <c r="AJ764" s="262"/>
      <c r="AK764" s="262"/>
      <c r="AL764" s="262"/>
      <c r="AM764" s="262"/>
      <c r="AN764" s="262"/>
      <c r="AO764" s="262"/>
      <c r="AP764" s="262"/>
      <c r="AQ764" s="262"/>
      <c r="AR764" s="262"/>
      <c r="AS764" s="262"/>
      <c r="AT764" s="262"/>
      <c r="AU764" s="262"/>
      <c r="AV764" s="262"/>
      <c r="AW764" s="262"/>
      <c r="AX764" s="262"/>
      <c r="AY764" s="262"/>
      <c r="AZ764" s="262"/>
      <c r="BA764" s="262"/>
      <c r="BB764" s="262"/>
      <c r="BC764" s="262"/>
      <c r="BD764" s="262"/>
      <c r="BE764" s="262"/>
      <c r="BF764" s="262"/>
      <c r="BG764" s="262"/>
      <c r="BH764" s="262"/>
      <c r="BI764" s="262"/>
      <c r="BJ764" s="262"/>
      <c r="BK764" s="262"/>
      <c r="BL764" s="262"/>
      <c r="BM764" s="262"/>
      <c r="BN764" s="262"/>
      <c r="BO764" s="262"/>
      <c r="BP764" s="262"/>
      <c r="BQ764" s="262"/>
      <c r="BR764" s="262"/>
      <c r="BS764" s="262"/>
      <c r="BT764" s="262"/>
      <c r="BU764" s="262"/>
      <c r="BV764" s="262"/>
      <c r="BW764" s="262"/>
      <c r="BX764" s="262"/>
      <c r="BY764" s="262"/>
      <c r="BZ764" s="262"/>
      <c r="CA764" s="262"/>
      <c r="CB764" s="262"/>
      <c r="CC764" s="262"/>
      <c r="CD764" s="262"/>
      <c r="CE764" s="262"/>
      <c r="CF764" s="262"/>
      <c r="CG764" s="262"/>
      <c r="CH764" s="262"/>
      <c r="CI764" s="262"/>
      <c r="CJ764" s="262"/>
      <c r="CK764" s="262"/>
      <c r="CL764" s="262"/>
      <c r="CM764" s="262"/>
      <c r="CN764" s="262"/>
      <c r="CO764" s="262"/>
      <c r="CP764" s="262"/>
      <c r="CQ764" s="262"/>
      <c r="CR764" s="262"/>
      <c r="CS764" s="262"/>
      <c r="CT764" s="262"/>
      <c r="CU764" s="262"/>
      <c r="CV764" s="262"/>
    </row>
    <row r="765" spans="33:100">
      <c r="AG765" s="262"/>
      <c r="AH765" s="262"/>
      <c r="AI765" s="262"/>
      <c r="AJ765" s="262"/>
      <c r="AK765" s="262"/>
      <c r="AL765" s="262"/>
      <c r="AM765" s="262"/>
      <c r="AN765" s="262"/>
      <c r="AO765" s="262"/>
      <c r="AP765" s="262"/>
      <c r="AQ765" s="262"/>
      <c r="AR765" s="262"/>
      <c r="AS765" s="262"/>
      <c r="AT765" s="262"/>
      <c r="AU765" s="262"/>
      <c r="AV765" s="262"/>
      <c r="AW765" s="262"/>
      <c r="AX765" s="262"/>
      <c r="AY765" s="262"/>
      <c r="AZ765" s="262"/>
      <c r="BA765" s="262"/>
      <c r="BB765" s="262"/>
      <c r="BC765" s="262"/>
      <c r="BD765" s="262"/>
      <c r="BE765" s="262"/>
      <c r="BF765" s="262"/>
      <c r="BG765" s="262"/>
      <c r="BH765" s="262"/>
      <c r="BI765" s="262"/>
      <c r="BJ765" s="262"/>
      <c r="BK765" s="262"/>
      <c r="BL765" s="262"/>
      <c r="BM765" s="262"/>
      <c r="BN765" s="262"/>
      <c r="BO765" s="262"/>
      <c r="BP765" s="262"/>
      <c r="BQ765" s="262"/>
      <c r="BR765" s="262"/>
      <c r="BS765" s="262"/>
      <c r="BT765" s="262"/>
      <c r="BU765" s="262"/>
      <c r="BV765" s="262"/>
      <c r="BW765" s="262"/>
      <c r="BX765" s="262"/>
      <c r="BY765" s="262"/>
      <c r="BZ765" s="262"/>
      <c r="CA765" s="262"/>
      <c r="CB765" s="262"/>
      <c r="CC765" s="262"/>
      <c r="CD765" s="262"/>
      <c r="CE765" s="262"/>
      <c r="CF765" s="262"/>
      <c r="CG765" s="262"/>
      <c r="CH765" s="262"/>
      <c r="CI765" s="262"/>
      <c r="CJ765" s="262"/>
      <c r="CK765" s="262"/>
      <c r="CL765" s="262"/>
      <c r="CM765" s="262"/>
      <c r="CN765" s="262"/>
      <c r="CO765" s="262"/>
      <c r="CP765" s="262"/>
      <c r="CQ765" s="262"/>
      <c r="CR765" s="262"/>
      <c r="CS765" s="262"/>
      <c r="CT765" s="262"/>
      <c r="CU765" s="262"/>
      <c r="CV765" s="262"/>
    </row>
    <row r="766" spans="33:100">
      <c r="AG766" s="262"/>
      <c r="AH766" s="262"/>
      <c r="AI766" s="262"/>
      <c r="AJ766" s="262"/>
      <c r="AK766" s="262"/>
      <c r="AL766" s="262"/>
      <c r="AM766" s="262"/>
      <c r="AN766" s="262"/>
      <c r="AO766" s="262"/>
      <c r="AP766" s="262"/>
      <c r="AQ766" s="262"/>
      <c r="AR766" s="262"/>
      <c r="AS766" s="262"/>
      <c r="AT766" s="262"/>
      <c r="AU766" s="262"/>
      <c r="AV766" s="262"/>
      <c r="AW766" s="262"/>
      <c r="AX766" s="262"/>
      <c r="AY766" s="262"/>
      <c r="AZ766" s="262"/>
      <c r="BA766" s="262"/>
      <c r="BB766" s="262"/>
      <c r="BC766" s="262"/>
      <c r="BD766" s="262"/>
      <c r="BE766" s="262"/>
      <c r="BF766" s="262"/>
      <c r="BG766" s="262"/>
      <c r="BH766" s="262"/>
      <c r="BI766" s="262"/>
      <c r="BJ766" s="262"/>
      <c r="BK766" s="262"/>
      <c r="BL766" s="262"/>
      <c r="BM766" s="262"/>
      <c r="BN766" s="262"/>
      <c r="BO766" s="262"/>
      <c r="BP766" s="262"/>
      <c r="BQ766" s="262"/>
      <c r="BR766" s="262"/>
      <c r="BS766" s="262"/>
      <c r="BT766" s="262"/>
      <c r="BU766" s="262"/>
      <c r="BV766" s="262"/>
      <c r="BW766" s="262"/>
      <c r="BX766" s="262"/>
      <c r="BY766" s="262"/>
      <c r="BZ766" s="262"/>
      <c r="CA766" s="262"/>
      <c r="CB766" s="262"/>
      <c r="CC766" s="262"/>
      <c r="CD766" s="262"/>
      <c r="CE766" s="262"/>
      <c r="CF766" s="262"/>
      <c r="CG766" s="262"/>
      <c r="CH766" s="262"/>
      <c r="CI766" s="262"/>
      <c r="CJ766" s="262"/>
      <c r="CK766" s="262"/>
      <c r="CL766" s="262"/>
      <c r="CM766" s="262"/>
      <c r="CN766" s="262"/>
      <c r="CO766" s="262"/>
      <c r="CP766" s="262"/>
      <c r="CQ766" s="262"/>
      <c r="CR766" s="262"/>
      <c r="CS766" s="262"/>
      <c r="CT766" s="262"/>
      <c r="CU766" s="262"/>
      <c r="CV766" s="262"/>
    </row>
    <row r="767" spans="33:100">
      <c r="AG767" s="262"/>
      <c r="AH767" s="262"/>
      <c r="AI767" s="262"/>
      <c r="AJ767" s="262"/>
      <c r="AK767" s="262"/>
      <c r="AL767" s="262"/>
      <c r="AM767" s="262"/>
      <c r="AN767" s="262"/>
      <c r="AO767" s="262"/>
      <c r="AP767" s="262"/>
      <c r="AQ767" s="262"/>
      <c r="AR767" s="262"/>
      <c r="AS767" s="262"/>
      <c r="AT767" s="262"/>
      <c r="AU767" s="262"/>
      <c r="AV767" s="262"/>
      <c r="AW767" s="262"/>
      <c r="AX767" s="262"/>
      <c r="AY767" s="262"/>
      <c r="AZ767" s="262"/>
      <c r="BA767" s="262"/>
      <c r="BB767" s="262"/>
      <c r="BC767" s="262"/>
      <c r="BD767" s="262"/>
      <c r="BE767" s="262"/>
      <c r="BF767" s="262"/>
      <c r="BG767" s="262"/>
      <c r="BH767" s="262"/>
      <c r="BI767" s="262"/>
      <c r="BJ767" s="262"/>
      <c r="BK767" s="262"/>
      <c r="BL767" s="262"/>
      <c r="BM767" s="262"/>
      <c r="BN767" s="262"/>
      <c r="BO767" s="262"/>
      <c r="BP767" s="262"/>
      <c r="BQ767" s="262"/>
      <c r="BR767" s="262"/>
      <c r="BS767" s="262"/>
      <c r="BT767" s="262"/>
      <c r="BU767" s="262"/>
      <c r="BV767" s="262"/>
      <c r="BW767" s="262"/>
      <c r="BX767" s="262"/>
      <c r="BY767" s="262"/>
      <c r="BZ767" s="262"/>
      <c r="CA767" s="262"/>
      <c r="CB767" s="262"/>
      <c r="CC767" s="262"/>
      <c r="CD767" s="262"/>
      <c r="CE767" s="262"/>
      <c r="CF767" s="262"/>
      <c r="CG767" s="262"/>
      <c r="CH767" s="262"/>
      <c r="CI767" s="262"/>
      <c r="CJ767" s="262"/>
      <c r="CK767" s="262"/>
      <c r="CL767" s="262"/>
      <c r="CM767" s="262"/>
      <c r="CN767" s="262"/>
      <c r="CO767" s="262"/>
      <c r="CP767" s="262"/>
      <c r="CQ767" s="262"/>
      <c r="CR767" s="262"/>
      <c r="CS767" s="262"/>
      <c r="CT767" s="262"/>
      <c r="CU767" s="262"/>
      <c r="CV767" s="262"/>
    </row>
    <row r="768" spans="33:100">
      <c r="AG768" s="262"/>
      <c r="AH768" s="262"/>
      <c r="AI768" s="262"/>
      <c r="AJ768" s="262"/>
      <c r="AK768" s="262"/>
      <c r="AL768" s="262"/>
      <c r="AM768" s="262"/>
      <c r="AN768" s="262"/>
      <c r="AO768" s="262"/>
      <c r="AP768" s="262"/>
      <c r="AQ768" s="262"/>
      <c r="AR768" s="262"/>
      <c r="AS768" s="262"/>
      <c r="AT768" s="262"/>
      <c r="AU768" s="262"/>
      <c r="AV768" s="262"/>
      <c r="AW768" s="262"/>
      <c r="AX768" s="262"/>
      <c r="AY768" s="262"/>
      <c r="AZ768" s="262"/>
      <c r="BA768" s="262"/>
      <c r="BB768" s="262"/>
      <c r="BC768" s="262"/>
      <c r="BD768" s="262"/>
      <c r="BE768" s="262"/>
      <c r="BF768" s="262"/>
      <c r="BG768" s="262"/>
      <c r="BH768" s="262"/>
      <c r="BI768" s="262"/>
      <c r="BJ768" s="262"/>
      <c r="BK768" s="262"/>
      <c r="BL768" s="262"/>
      <c r="BM768" s="262"/>
      <c r="BN768" s="262"/>
      <c r="BO768" s="262"/>
      <c r="BP768" s="262"/>
      <c r="BQ768" s="262"/>
      <c r="BR768" s="262"/>
      <c r="BS768" s="262"/>
      <c r="BT768" s="262"/>
      <c r="BU768" s="262"/>
      <c r="BV768" s="262"/>
      <c r="BW768" s="262"/>
      <c r="BX768" s="262"/>
      <c r="BY768" s="262"/>
      <c r="BZ768" s="262"/>
      <c r="CA768" s="262"/>
      <c r="CB768" s="262"/>
      <c r="CC768" s="262"/>
      <c r="CD768" s="262"/>
      <c r="CE768" s="262"/>
      <c r="CF768" s="262"/>
      <c r="CG768" s="262"/>
      <c r="CH768" s="262"/>
      <c r="CI768" s="262"/>
      <c r="CJ768" s="262"/>
      <c r="CK768" s="262"/>
      <c r="CL768" s="262"/>
      <c r="CM768" s="262"/>
      <c r="CN768" s="262"/>
      <c r="CO768" s="262"/>
      <c r="CP768" s="262"/>
      <c r="CQ768" s="262"/>
      <c r="CR768" s="262"/>
      <c r="CS768" s="262"/>
      <c r="CT768" s="262"/>
      <c r="CU768" s="262"/>
      <c r="CV768" s="262"/>
    </row>
    <row r="769" spans="33:100">
      <c r="AG769" s="262"/>
      <c r="AH769" s="262"/>
      <c r="AI769" s="262"/>
      <c r="AJ769" s="262"/>
      <c r="AK769" s="262"/>
      <c r="AL769" s="262"/>
      <c r="AM769" s="262"/>
      <c r="AN769" s="262"/>
      <c r="AO769" s="262"/>
      <c r="AP769" s="262"/>
      <c r="AQ769" s="262"/>
      <c r="AR769" s="262"/>
      <c r="AS769" s="262"/>
      <c r="AT769" s="262"/>
      <c r="AU769" s="262"/>
      <c r="AV769" s="262"/>
      <c r="AW769" s="262"/>
      <c r="AX769" s="262"/>
      <c r="AY769" s="262"/>
      <c r="AZ769" s="262"/>
      <c r="BA769" s="262"/>
      <c r="BB769" s="262"/>
      <c r="BC769" s="262"/>
      <c r="BD769" s="262"/>
      <c r="BE769" s="262"/>
      <c r="BF769" s="262"/>
      <c r="BG769" s="262"/>
      <c r="BH769" s="262"/>
      <c r="BI769" s="262"/>
      <c r="BJ769" s="262"/>
      <c r="BK769" s="262"/>
      <c r="BL769" s="262"/>
      <c r="BM769" s="262"/>
      <c r="BN769" s="262"/>
      <c r="BO769" s="262"/>
      <c r="BP769" s="262"/>
      <c r="BQ769" s="262"/>
      <c r="BR769" s="262"/>
      <c r="BS769" s="262"/>
      <c r="BT769" s="262"/>
      <c r="BU769" s="262"/>
      <c r="BV769" s="262"/>
      <c r="BW769" s="262"/>
      <c r="BX769" s="262"/>
      <c r="BY769" s="262"/>
      <c r="BZ769" s="262"/>
      <c r="CA769" s="262"/>
      <c r="CB769" s="262"/>
      <c r="CC769" s="262"/>
      <c r="CD769" s="262"/>
      <c r="CE769" s="262"/>
      <c r="CF769" s="262"/>
      <c r="CG769" s="262"/>
      <c r="CH769" s="262"/>
      <c r="CI769" s="262"/>
      <c r="CJ769" s="262"/>
      <c r="CK769" s="262"/>
      <c r="CL769" s="262"/>
      <c r="CM769" s="262"/>
      <c r="CN769" s="262"/>
      <c r="CO769" s="262"/>
      <c r="CP769" s="262"/>
      <c r="CQ769" s="262"/>
      <c r="CR769" s="262"/>
      <c r="CS769" s="262"/>
      <c r="CT769" s="262"/>
      <c r="CU769" s="262"/>
      <c r="CV769" s="262"/>
    </row>
    <row r="770" spans="33:100">
      <c r="AG770" s="262"/>
      <c r="AH770" s="262"/>
      <c r="AI770" s="262"/>
      <c r="AJ770" s="262"/>
      <c r="AK770" s="262"/>
      <c r="AL770" s="262"/>
      <c r="AM770" s="262"/>
      <c r="AN770" s="262"/>
      <c r="AO770" s="262"/>
      <c r="AP770" s="262"/>
      <c r="AQ770" s="262"/>
      <c r="AR770" s="262"/>
      <c r="AS770" s="262"/>
      <c r="AT770" s="262"/>
      <c r="AU770" s="262"/>
      <c r="AV770" s="262"/>
      <c r="AW770" s="262"/>
      <c r="AX770" s="262"/>
      <c r="AY770" s="262"/>
      <c r="AZ770" s="262"/>
      <c r="BA770" s="262"/>
      <c r="BB770" s="262"/>
      <c r="BC770" s="262"/>
      <c r="BD770" s="262"/>
      <c r="BE770" s="262"/>
      <c r="BF770" s="262"/>
      <c r="BG770" s="262"/>
      <c r="BH770" s="262"/>
      <c r="BI770" s="262"/>
      <c r="BJ770" s="262"/>
      <c r="BK770" s="262"/>
      <c r="BL770" s="262"/>
      <c r="BM770" s="262"/>
      <c r="BN770" s="262"/>
      <c r="BO770" s="262"/>
      <c r="BP770" s="262"/>
      <c r="BQ770" s="262"/>
      <c r="BR770" s="262"/>
      <c r="BS770" s="262"/>
      <c r="BT770" s="262"/>
      <c r="BU770" s="262"/>
      <c r="BV770" s="262"/>
      <c r="BW770" s="262"/>
      <c r="BX770" s="262"/>
      <c r="BY770" s="262"/>
      <c r="BZ770" s="262"/>
      <c r="CA770" s="262"/>
      <c r="CB770" s="262"/>
      <c r="CC770" s="262"/>
      <c r="CD770" s="262"/>
      <c r="CE770" s="262"/>
      <c r="CF770" s="262"/>
      <c r="CG770" s="262"/>
      <c r="CH770" s="262"/>
      <c r="CI770" s="262"/>
      <c r="CJ770" s="262"/>
      <c r="CK770" s="262"/>
      <c r="CL770" s="262"/>
      <c r="CM770" s="262"/>
      <c r="CN770" s="262"/>
      <c r="CO770" s="262"/>
      <c r="CP770" s="262"/>
      <c r="CQ770" s="262"/>
      <c r="CR770" s="262"/>
      <c r="CS770" s="262"/>
      <c r="CT770" s="262"/>
      <c r="CU770" s="262"/>
      <c r="CV770" s="262"/>
    </row>
    <row r="771" spans="33:100">
      <c r="AG771" s="262"/>
      <c r="AH771" s="262"/>
      <c r="AI771" s="262"/>
      <c r="AJ771" s="262"/>
      <c r="AK771" s="262"/>
      <c r="AL771" s="262"/>
      <c r="AM771" s="262"/>
      <c r="AN771" s="262"/>
      <c r="AO771" s="262"/>
      <c r="AP771" s="262"/>
      <c r="AQ771" s="262"/>
      <c r="AR771" s="262"/>
      <c r="AS771" s="262"/>
      <c r="AT771" s="262"/>
      <c r="AU771" s="262"/>
      <c r="AV771" s="262"/>
      <c r="AW771" s="262"/>
      <c r="AX771" s="262"/>
      <c r="AY771" s="262"/>
      <c r="AZ771" s="262"/>
      <c r="BA771" s="262"/>
      <c r="BB771" s="262"/>
      <c r="BC771" s="262"/>
      <c r="BD771" s="262"/>
      <c r="BE771" s="262"/>
      <c r="BF771" s="262"/>
      <c r="BG771" s="262"/>
      <c r="BH771" s="262"/>
      <c r="BI771" s="262"/>
      <c r="BJ771" s="262"/>
      <c r="BK771" s="262"/>
      <c r="BL771" s="262"/>
      <c r="BM771" s="262"/>
      <c r="BN771" s="262"/>
      <c r="BO771" s="262"/>
      <c r="BP771" s="262"/>
      <c r="BQ771" s="262"/>
      <c r="BR771" s="262"/>
      <c r="BS771" s="262"/>
      <c r="BT771" s="262"/>
      <c r="BU771" s="262"/>
      <c r="BV771" s="262"/>
      <c r="BW771" s="262"/>
      <c r="BX771" s="262"/>
      <c r="BY771" s="262"/>
      <c r="BZ771" s="262"/>
      <c r="CA771" s="262"/>
      <c r="CB771" s="262"/>
      <c r="CC771" s="262"/>
      <c r="CD771" s="262"/>
      <c r="CE771" s="262"/>
      <c r="CF771" s="262"/>
      <c r="CG771" s="262"/>
      <c r="CH771" s="262"/>
      <c r="CI771" s="262"/>
      <c r="CJ771" s="262"/>
      <c r="CK771" s="262"/>
      <c r="CL771" s="262"/>
      <c r="CM771" s="262"/>
      <c r="CN771" s="262"/>
      <c r="CO771" s="262"/>
      <c r="CP771" s="262"/>
      <c r="CQ771" s="262"/>
      <c r="CR771" s="262"/>
      <c r="CS771" s="262"/>
      <c r="CT771" s="262"/>
      <c r="CU771" s="262"/>
      <c r="CV771" s="262"/>
    </row>
    <row r="772" spans="33:100">
      <c r="AG772" s="262"/>
      <c r="AH772" s="262"/>
      <c r="AI772" s="262"/>
      <c r="AJ772" s="262"/>
      <c r="AK772" s="262"/>
      <c r="AL772" s="262"/>
      <c r="AM772" s="262"/>
      <c r="AN772" s="262"/>
      <c r="AO772" s="262"/>
      <c r="AP772" s="262"/>
      <c r="AQ772" s="262"/>
      <c r="AR772" s="262"/>
      <c r="AS772" s="262"/>
      <c r="AT772" s="262"/>
      <c r="AU772" s="262"/>
      <c r="AV772" s="262"/>
      <c r="AW772" s="262"/>
      <c r="AX772" s="262"/>
      <c r="AY772" s="262"/>
      <c r="AZ772" s="262"/>
      <c r="BA772" s="262"/>
      <c r="BB772" s="262"/>
      <c r="BC772" s="262"/>
      <c r="BD772" s="262"/>
      <c r="BE772" s="262"/>
      <c r="BF772" s="262"/>
      <c r="BG772" s="262"/>
      <c r="BH772" s="262"/>
      <c r="BI772" s="262"/>
      <c r="BJ772" s="262"/>
      <c r="BK772" s="262"/>
      <c r="BL772" s="262"/>
      <c r="BM772" s="262"/>
      <c r="BN772" s="262"/>
      <c r="BO772" s="262"/>
      <c r="BP772" s="262"/>
      <c r="BQ772" s="262"/>
      <c r="BR772" s="262"/>
      <c r="BS772" s="262"/>
      <c r="BT772" s="262"/>
      <c r="BU772" s="262"/>
      <c r="BV772" s="262"/>
      <c r="BW772" s="262"/>
      <c r="BX772" s="262"/>
      <c r="BY772" s="262"/>
      <c r="BZ772" s="262"/>
      <c r="CA772" s="262"/>
      <c r="CB772" s="262"/>
      <c r="CC772" s="262"/>
      <c r="CD772" s="262"/>
      <c r="CE772" s="262"/>
      <c r="CF772" s="262"/>
      <c r="CG772" s="262"/>
      <c r="CH772" s="262"/>
      <c r="CI772" s="262"/>
      <c r="CJ772" s="262"/>
      <c r="CK772" s="262"/>
      <c r="CL772" s="262"/>
      <c r="CM772" s="262"/>
      <c r="CN772" s="262"/>
      <c r="CO772" s="262"/>
      <c r="CP772" s="262"/>
      <c r="CQ772" s="262"/>
      <c r="CR772" s="262"/>
      <c r="CS772" s="262"/>
      <c r="CT772" s="262"/>
      <c r="CU772" s="262"/>
      <c r="CV772" s="262"/>
    </row>
    <row r="773" spans="33:100">
      <c r="AG773" s="262"/>
      <c r="AH773" s="262"/>
      <c r="AI773" s="262"/>
      <c r="AJ773" s="262"/>
      <c r="AK773" s="262"/>
      <c r="AL773" s="262"/>
      <c r="AM773" s="262"/>
      <c r="AN773" s="262"/>
      <c r="AO773" s="262"/>
      <c r="AP773" s="262"/>
      <c r="AQ773" s="262"/>
      <c r="AR773" s="262"/>
      <c r="AS773" s="262"/>
      <c r="AT773" s="262"/>
      <c r="AU773" s="262"/>
      <c r="AV773" s="262"/>
      <c r="AW773" s="262"/>
      <c r="AX773" s="262"/>
      <c r="AY773" s="262"/>
      <c r="AZ773" s="262"/>
      <c r="BA773" s="262"/>
      <c r="BB773" s="262"/>
      <c r="BC773" s="262"/>
      <c r="BD773" s="262"/>
      <c r="BE773" s="262"/>
      <c r="BF773" s="262"/>
      <c r="BG773" s="262"/>
      <c r="BH773" s="262"/>
      <c r="BI773" s="262"/>
      <c r="BJ773" s="262"/>
      <c r="BK773" s="262"/>
      <c r="BL773" s="262"/>
      <c r="BM773" s="262"/>
      <c r="BN773" s="262"/>
      <c r="BO773" s="262"/>
      <c r="BP773" s="262"/>
      <c r="BQ773" s="262"/>
      <c r="BR773" s="262"/>
      <c r="BS773" s="262"/>
      <c r="BT773" s="262"/>
      <c r="BU773" s="262"/>
      <c r="BV773" s="262"/>
      <c r="BW773" s="262"/>
      <c r="BX773" s="262"/>
      <c r="BY773" s="262"/>
      <c r="BZ773" s="262"/>
      <c r="CA773" s="262"/>
      <c r="CB773" s="262"/>
      <c r="CC773" s="262"/>
      <c r="CD773" s="262"/>
      <c r="CE773" s="262"/>
      <c r="CF773" s="262"/>
      <c r="CG773" s="262"/>
      <c r="CH773" s="262"/>
      <c r="CI773" s="262"/>
      <c r="CJ773" s="262"/>
      <c r="CK773" s="262"/>
      <c r="CL773" s="262"/>
      <c r="CM773" s="262"/>
      <c r="CN773" s="262"/>
      <c r="CO773" s="262"/>
      <c r="CP773" s="262"/>
      <c r="CQ773" s="262"/>
      <c r="CR773" s="262"/>
      <c r="CS773" s="262"/>
      <c r="CT773" s="262"/>
      <c r="CU773" s="262"/>
      <c r="CV773" s="262"/>
    </row>
    <row r="774" spans="33:100">
      <c r="AG774" s="262"/>
      <c r="AH774" s="262"/>
      <c r="AI774" s="262"/>
      <c r="AJ774" s="262"/>
      <c r="AK774" s="262"/>
      <c r="AL774" s="262"/>
      <c r="AM774" s="262"/>
      <c r="AN774" s="262"/>
      <c r="AO774" s="262"/>
      <c r="AP774" s="262"/>
      <c r="AQ774" s="262"/>
      <c r="AR774" s="262"/>
      <c r="AS774" s="262"/>
      <c r="AT774" s="262"/>
      <c r="AU774" s="262"/>
      <c r="AV774" s="262"/>
      <c r="AW774" s="262"/>
      <c r="AX774" s="262"/>
      <c r="AY774" s="262"/>
      <c r="AZ774" s="262"/>
      <c r="BA774" s="262"/>
      <c r="BB774" s="262"/>
      <c r="BC774" s="262"/>
      <c r="BD774" s="262"/>
      <c r="BE774" s="262"/>
      <c r="BF774" s="262"/>
      <c r="BG774" s="262"/>
      <c r="BH774" s="262"/>
      <c r="BI774" s="262"/>
      <c r="BJ774" s="262"/>
      <c r="BK774" s="262"/>
      <c r="BL774" s="262"/>
      <c r="BM774" s="262"/>
      <c r="BN774" s="262"/>
      <c r="BO774" s="262"/>
      <c r="BP774" s="262"/>
      <c r="BQ774" s="262"/>
      <c r="BR774" s="262"/>
      <c r="BS774" s="262"/>
      <c r="BT774" s="262"/>
      <c r="BU774" s="262"/>
      <c r="BV774" s="262"/>
      <c r="BW774" s="262"/>
      <c r="BX774" s="262"/>
      <c r="BY774" s="262"/>
      <c r="BZ774" s="262"/>
      <c r="CA774" s="262"/>
      <c r="CB774" s="262"/>
      <c r="CC774" s="262"/>
      <c r="CD774" s="262"/>
      <c r="CE774" s="262"/>
      <c r="CF774" s="262"/>
      <c r="CG774" s="262"/>
      <c r="CH774" s="262"/>
      <c r="CI774" s="262"/>
      <c r="CJ774" s="262"/>
      <c r="CK774" s="262"/>
      <c r="CL774" s="262"/>
      <c r="CM774" s="262"/>
      <c r="CN774" s="262"/>
      <c r="CO774" s="262"/>
      <c r="CP774" s="262"/>
      <c r="CQ774" s="262"/>
      <c r="CR774" s="262"/>
      <c r="CS774" s="262"/>
      <c r="CT774" s="262"/>
      <c r="CU774" s="262"/>
      <c r="CV774" s="262"/>
    </row>
    <row r="775" spans="33:100">
      <c r="AG775" s="262"/>
      <c r="AH775" s="262"/>
      <c r="AI775" s="262"/>
      <c r="AJ775" s="262"/>
      <c r="AK775" s="262"/>
      <c r="AL775" s="262"/>
      <c r="AM775" s="262"/>
      <c r="AN775" s="262"/>
      <c r="AO775" s="262"/>
      <c r="AP775" s="262"/>
      <c r="AQ775" s="262"/>
      <c r="AR775" s="262"/>
      <c r="AS775" s="262"/>
      <c r="AT775" s="262"/>
      <c r="AU775" s="262"/>
      <c r="AV775" s="262"/>
      <c r="AW775" s="262"/>
      <c r="AX775" s="262"/>
      <c r="AY775" s="262"/>
      <c r="AZ775" s="262"/>
      <c r="BA775" s="262"/>
      <c r="BB775" s="262"/>
      <c r="BC775" s="262"/>
      <c r="BD775" s="262"/>
      <c r="BE775" s="262"/>
      <c r="BF775" s="262"/>
      <c r="BG775" s="262"/>
      <c r="BH775" s="262"/>
      <c r="BI775" s="262"/>
      <c r="BJ775" s="262"/>
      <c r="BK775" s="262"/>
      <c r="BL775" s="262"/>
      <c r="BM775" s="262"/>
      <c r="BN775" s="262"/>
      <c r="BO775" s="262"/>
      <c r="BP775" s="262"/>
      <c r="BQ775" s="262"/>
      <c r="BR775" s="262"/>
      <c r="BS775" s="262"/>
      <c r="BT775" s="262"/>
      <c r="BU775" s="262"/>
      <c r="BV775" s="262"/>
      <c r="BW775" s="262"/>
      <c r="BX775" s="262"/>
      <c r="BY775" s="262"/>
      <c r="BZ775" s="262"/>
      <c r="CA775" s="262"/>
      <c r="CB775" s="262"/>
      <c r="CC775" s="262"/>
      <c r="CD775" s="262"/>
      <c r="CE775" s="262"/>
      <c r="CF775" s="262"/>
      <c r="CG775" s="262"/>
      <c r="CH775" s="262"/>
      <c r="CI775" s="262"/>
      <c r="CJ775" s="262"/>
      <c r="CK775" s="262"/>
      <c r="CL775" s="262"/>
      <c r="CM775" s="262"/>
      <c r="CN775" s="262"/>
      <c r="CO775" s="262"/>
      <c r="CP775" s="262"/>
      <c r="CQ775" s="262"/>
      <c r="CR775" s="262"/>
      <c r="CS775" s="262"/>
      <c r="CT775" s="262"/>
      <c r="CU775" s="262"/>
      <c r="CV775" s="262"/>
    </row>
    <row r="776" spans="33:100">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row>
    <row r="777" spans="33:100">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row>
    <row r="778" spans="33:100">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row>
    <row r="779" spans="33:100">
      <c r="AG779" s="262"/>
      <c r="AH779" s="262"/>
      <c r="AI779" s="262"/>
      <c r="AJ779" s="262"/>
      <c r="AK779" s="262"/>
      <c r="AL779" s="262"/>
      <c r="AM779" s="262"/>
      <c r="AN779" s="262"/>
      <c r="AO779" s="262"/>
      <c r="AP779" s="262"/>
      <c r="AQ779" s="262"/>
      <c r="AR779" s="262"/>
      <c r="AS779" s="262"/>
      <c r="AT779" s="262"/>
      <c r="AU779" s="262"/>
      <c r="AV779" s="262"/>
      <c r="AW779" s="262"/>
      <c r="AX779" s="262"/>
      <c r="AY779" s="262"/>
      <c r="AZ779" s="262"/>
      <c r="BA779" s="262"/>
      <c r="BB779" s="262"/>
      <c r="BC779" s="262"/>
      <c r="BD779" s="262"/>
      <c r="BE779" s="262"/>
      <c r="BF779" s="262"/>
      <c r="BG779" s="262"/>
      <c r="BH779" s="262"/>
      <c r="BI779" s="262"/>
      <c r="BJ779" s="262"/>
      <c r="BK779" s="262"/>
      <c r="BL779" s="262"/>
      <c r="BM779" s="262"/>
      <c r="BN779" s="262"/>
      <c r="BO779" s="262"/>
      <c r="BP779" s="262"/>
      <c r="BQ779" s="262"/>
      <c r="BR779" s="262"/>
      <c r="BS779" s="262"/>
      <c r="BT779" s="262"/>
      <c r="BU779" s="262"/>
      <c r="BV779" s="262"/>
      <c r="BW779" s="262"/>
      <c r="BX779" s="262"/>
      <c r="BY779" s="262"/>
      <c r="BZ779" s="262"/>
      <c r="CA779" s="262"/>
      <c r="CB779" s="262"/>
      <c r="CC779" s="262"/>
      <c r="CD779" s="262"/>
      <c r="CE779" s="262"/>
      <c r="CF779" s="262"/>
      <c r="CG779" s="262"/>
      <c r="CH779" s="262"/>
      <c r="CI779" s="262"/>
      <c r="CJ779" s="262"/>
      <c r="CK779" s="262"/>
      <c r="CL779" s="262"/>
      <c r="CM779" s="262"/>
      <c r="CN779" s="262"/>
      <c r="CO779" s="262"/>
      <c r="CP779" s="262"/>
      <c r="CQ779" s="262"/>
      <c r="CR779" s="262"/>
      <c r="CS779" s="262"/>
      <c r="CT779" s="262"/>
      <c r="CU779" s="262"/>
      <c r="CV779" s="262"/>
    </row>
    <row r="780" spans="33:100">
      <c r="AG780" s="262"/>
      <c r="AH780" s="262"/>
      <c r="AI780" s="262"/>
      <c r="AJ780" s="262"/>
      <c r="AK780" s="262"/>
      <c r="AL780" s="262"/>
      <c r="AM780" s="262"/>
      <c r="AN780" s="262"/>
      <c r="AO780" s="262"/>
      <c r="AP780" s="262"/>
      <c r="AQ780" s="262"/>
      <c r="AR780" s="262"/>
      <c r="AS780" s="262"/>
      <c r="AT780" s="262"/>
      <c r="AU780" s="262"/>
      <c r="AV780" s="262"/>
      <c r="AW780" s="262"/>
      <c r="AX780" s="262"/>
      <c r="AY780" s="262"/>
      <c r="AZ780" s="262"/>
      <c r="BA780" s="262"/>
      <c r="BB780" s="262"/>
      <c r="BC780" s="262"/>
      <c r="BD780" s="262"/>
      <c r="BE780" s="262"/>
      <c r="BF780" s="262"/>
      <c r="BG780" s="262"/>
      <c r="BH780" s="262"/>
      <c r="BI780" s="262"/>
      <c r="BJ780" s="262"/>
      <c r="BK780" s="262"/>
      <c r="BL780" s="262"/>
      <c r="BM780" s="262"/>
      <c r="BN780" s="262"/>
      <c r="BO780" s="262"/>
      <c r="BP780" s="262"/>
      <c r="BQ780" s="262"/>
      <c r="BR780" s="262"/>
      <c r="BS780" s="262"/>
      <c r="BT780" s="262"/>
      <c r="BU780" s="262"/>
      <c r="BV780" s="262"/>
      <c r="BW780" s="262"/>
      <c r="BX780" s="262"/>
      <c r="BY780" s="262"/>
      <c r="BZ780" s="262"/>
      <c r="CA780" s="262"/>
      <c r="CB780" s="262"/>
      <c r="CC780" s="262"/>
      <c r="CD780" s="262"/>
      <c r="CE780" s="262"/>
      <c r="CF780" s="262"/>
      <c r="CG780" s="262"/>
      <c r="CH780" s="262"/>
      <c r="CI780" s="262"/>
      <c r="CJ780" s="262"/>
      <c r="CK780" s="262"/>
      <c r="CL780" s="262"/>
      <c r="CM780" s="262"/>
      <c r="CN780" s="262"/>
      <c r="CO780" s="262"/>
      <c r="CP780" s="262"/>
      <c r="CQ780" s="262"/>
      <c r="CR780" s="262"/>
      <c r="CS780" s="262"/>
      <c r="CT780" s="262"/>
      <c r="CU780" s="262"/>
      <c r="CV780" s="262"/>
    </row>
    <row r="781" spans="33:100">
      <c r="AG781" s="262"/>
      <c r="AH781" s="262"/>
      <c r="AI781" s="262"/>
      <c r="AJ781" s="262"/>
      <c r="AK781" s="262"/>
      <c r="AL781" s="262"/>
      <c r="AM781" s="262"/>
      <c r="AN781" s="262"/>
      <c r="AO781" s="262"/>
      <c r="AP781" s="262"/>
      <c r="AQ781" s="262"/>
      <c r="AR781" s="262"/>
      <c r="AS781" s="262"/>
      <c r="AT781" s="262"/>
      <c r="AU781" s="262"/>
      <c r="AV781" s="262"/>
      <c r="AW781" s="262"/>
      <c r="AX781" s="262"/>
      <c r="AY781" s="262"/>
      <c r="AZ781" s="262"/>
      <c r="BA781" s="262"/>
      <c r="BB781" s="262"/>
      <c r="BC781" s="262"/>
      <c r="BD781" s="262"/>
      <c r="BE781" s="262"/>
      <c r="BF781" s="262"/>
      <c r="BG781" s="262"/>
      <c r="BH781" s="262"/>
      <c r="BI781" s="262"/>
      <c r="BJ781" s="262"/>
      <c r="BK781" s="262"/>
      <c r="BL781" s="262"/>
      <c r="BM781" s="262"/>
      <c r="BN781" s="262"/>
      <c r="BO781" s="262"/>
      <c r="BP781" s="262"/>
      <c r="BQ781" s="262"/>
      <c r="BR781" s="262"/>
      <c r="BS781" s="262"/>
      <c r="BT781" s="262"/>
      <c r="BU781" s="262"/>
      <c r="BV781" s="262"/>
      <c r="BW781" s="262"/>
      <c r="BX781" s="262"/>
      <c r="BY781" s="262"/>
      <c r="BZ781" s="262"/>
      <c r="CA781" s="262"/>
      <c r="CB781" s="262"/>
      <c r="CC781" s="262"/>
      <c r="CD781" s="262"/>
      <c r="CE781" s="262"/>
      <c r="CF781" s="262"/>
      <c r="CG781" s="262"/>
      <c r="CH781" s="262"/>
      <c r="CI781" s="262"/>
      <c r="CJ781" s="262"/>
      <c r="CK781" s="262"/>
      <c r="CL781" s="262"/>
      <c r="CM781" s="262"/>
      <c r="CN781" s="262"/>
      <c r="CO781" s="262"/>
      <c r="CP781" s="262"/>
      <c r="CQ781" s="262"/>
      <c r="CR781" s="262"/>
      <c r="CS781" s="262"/>
      <c r="CT781" s="262"/>
      <c r="CU781" s="262"/>
      <c r="CV781" s="262"/>
    </row>
    <row r="782" spans="33:100">
      <c r="AG782" s="262"/>
      <c r="AH782" s="262"/>
      <c r="AI782" s="262"/>
      <c r="AJ782" s="262"/>
      <c r="AK782" s="262"/>
      <c r="AL782" s="262"/>
      <c r="AM782" s="262"/>
      <c r="AN782" s="262"/>
      <c r="AO782" s="262"/>
      <c r="AP782" s="262"/>
      <c r="AQ782" s="262"/>
      <c r="AR782" s="262"/>
      <c r="AS782" s="262"/>
      <c r="AT782" s="262"/>
      <c r="AU782" s="262"/>
      <c r="AV782" s="262"/>
      <c r="AW782" s="262"/>
      <c r="AX782" s="262"/>
      <c r="AY782" s="262"/>
      <c r="AZ782" s="262"/>
      <c r="BA782" s="262"/>
      <c r="BB782" s="262"/>
      <c r="BC782" s="262"/>
      <c r="BD782" s="262"/>
      <c r="BE782" s="262"/>
      <c r="BF782" s="262"/>
      <c r="BG782" s="262"/>
      <c r="BH782" s="262"/>
      <c r="BI782" s="262"/>
      <c r="BJ782" s="262"/>
      <c r="BK782" s="262"/>
      <c r="BL782" s="262"/>
      <c r="BM782" s="262"/>
      <c r="BN782" s="262"/>
      <c r="BO782" s="262"/>
      <c r="BP782" s="262"/>
      <c r="BQ782" s="262"/>
      <c r="BR782" s="262"/>
      <c r="BS782" s="262"/>
      <c r="BT782" s="262"/>
      <c r="BU782" s="262"/>
      <c r="BV782" s="262"/>
      <c r="BW782" s="262"/>
      <c r="BX782" s="262"/>
      <c r="BY782" s="262"/>
      <c r="BZ782" s="262"/>
      <c r="CA782" s="262"/>
      <c r="CB782" s="262"/>
      <c r="CC782" s="262"/>
      <c r="CD782" s="262"/>
      <c r="CE782" s="262"/>
      <c r="CF782" s="262"/>
      <c r="CG782" s="262"/>
      <c r="CH782" s="262"/>
      <c r="CI782" s="262"/>
      <c r="CJ782" s="262"/>
      <c r="CK782" s="262"/>
      <c r="CL782" s="262"/>
      <c r="CM782" s="262"/>
      <c r="CN782" s="262"/>
      <c r="CO782" s="262"/>
      <c r="CP782" s="262"/>
      <c r="CQ782" s="262"/>
      <c r="CR782" s="262"/>
      <c r="CS782" s="262"/>
      <c r="CT782" s="262"/>
      <c r="CU782" s="262"/>
      <c r="CV782" s="262"/>
    </row>
    <row r="783" spans="33:100">
      <c r="AG783" s="262"/>
      <c r="AH783" s="262"/>
      <c r="AI783" s="262"/>
      <c r="AJ783" s="262"/>
      <c r="AK783" s="262"/>
      <c r="AL783" s="262"/>
      <c r="AM783" s="262"/>
      <c r="AN783" s="262"/>
      <c r="AO783" s="262"/>
      <c r="AP783" s="262"/>
      <c r="AQ783" s="262"/>
      <c r="AR783" s="262"/>
      <c r="AS783" s="262"/>
      <c r="AT783" s="262"/>
      <c r="AU783" s="262"/>
      <c r="AV783" s="262"/>
      <c r="AW783" s="262"/>
      <c r="AX783" s="262"/>
      <c r="AY783" s="262"/>
      <c r="AZ783" s="262"/>
      <c r="BA783" s="262"/>
      <c r="BB783" s="262"/>
      <c r="BC783" s="262"/>
      <c r="BD783" s="262"/>
      <c r="BE783" s="262"/>
      <c r="BF783" s="262"/>
      <c r="BG783" s="262"/>
      <c r="BH783" s="262"/>
      <c r="BI783" s="262"/>
      <c r="BJ783" s="262"/>
      <c r="BK783" s="262"/>
      <c r="BL783" s="262"/>
      <c r="BM783" s="262"/>
      <c r="BN783" s="262"/>
      <c r="BO783" s="262"/>
      <c r="BP783" s="262"/>
      <c r="BQ783" s="262"/>
      <c r="BR783" s="262"/>
      <c r="BS783" s="262"/>
      <c r="BT783" s="262"/>
      <c r="BU783" s="262"/>
      <c r="BV783" s="262"/>
      <c r="BW783" s="262"/>
      <c r="BX783" s="262"/>
      <c r="BY783" s="262"/>
      <c r="BZ783" s="262"/>
      <c r="CA783" s="262"/>
      <c r="CB783" s="262"/>
      <c r="CC783" s="262"/>
      <c r="CD783" s="262"/>
      <c r="CE783" s="262"/>
      <c r="CF783" s="262"/>
      <c r="CG783" s="262"/>
      <c r="CH783" s="262"/>
      <c r="CI783" s="262"/>
      <c r="CJ783" s="262"/>
      <c r="CK783" s="262"/>
      <c r="CL783" s="262"/>
      <c r="CM783" s="262"/>
      <c r="CN783" s="262"/>
      <c r="CO783" s="262"/>
      <c r="CP783" s="262"/>
      <c r="CQ783" s="262"/>
      <c r="CR783" s="262"/>
      <c r="CS783" s="262"/>
      <c r="CT783" s="262"/>
      <c r="CU783" s="262"/>
      <c r="CV783" s="262"/>
    </row>
    <row r="784" spans="33:100">
      <c r="AG784" s="262"/>
      <c r="AH784" s="262"/>
      <c r="AI784" s="262"/>
      <c r="AJ784" s="262"/>
      <c r="AK784" s="262"/>
      <c r="AL784" s="262"/>
      <c r="AM784" s="262"/>
      <c r="AN784" s="262"/>
      <c r="AO784" s="262"/>
      <c r="AP784" s="262"/>
      <c r="AQ784" s="262"/>
      <c r="AR784" s="262"/>
      <c r="AS784" s="262"/>
      <c r="AT784" s="262"/>
      <c r="AU784" s="262"/>
      <c r="AV784" s="262"/>
      <c r="AW784" s="262"/>
      <c r="AX784" s="262"/>
      <c r="AY784" s="262"/>
      <c r="AZ784" s="262"/>
      <c r="BA784" s="262"/>
      <c r="BB784" s="262"/>
      <c r="BC784" s="262"/>
      <c r="BD784" s="262"/>
      <c r="BE784" s="262"/>
      <c r="BF784" s="262"/>
      <c r="BG784" s="262"/>
      <c r="BH784" s="262"/>
      <c r="BI784" s="262"/>
      <c r="BJ784" s="262"/>
      <c r="BK784" s="262"/>
      <c r="BL784" s="262"/>
      <c r="BM784" s="262"/>
      <c r="BN784" s="262"/>
      <c r="BO784" s="262"/>
      <c r="BP784" s="262"/>
      <c r="BQ784" s="262"/>
      <c r="BR784" s="262"/>
      <c r="BS784" s="262"/>
      <c r="BT784" s="262"/>
      <c r="BU784" s="262"/>
      <c r="BV784" s="262"/>
      <c r="BW784" s="262"/>
      <c r="BX784" s="262"/>
      <c r="BY784" s="262"/>
      <c r="BZ784" s="262"/>
      <c r="CA784" s="262"/>
      <c r="CB784" s="262"/>
      <c r="CC784" s="262"/>
      <c r="CD784" s="262"/>
      <c r="CE784" s="262"/>
      <c r="CF784" s="262"/>
      <c r="CG784" s="262"/>
      <c r="CH784" s="262"/>
      <c r="CI784" s="262"/>
      <c r="CJ784" s="262"/>
      <c r="CK784" s="262"/>
      <c r="CL784" s="262"/>
      <c r="CM784" s="262"/>
      <c r="CN784" s="262"/>
      <c r="CO784" s="262"/>
      <c r="CP784" s="262"/>
      <c r="CQ784" s="262"/>
      <c r="CR784" s="262"/>
      <c r="CS784" s="262"/>
      <c r="CT784" s="262"/>
      <c r="CU784" s="262"/>
      <c r="CV784" s="262"/>
    </row>
    <row r="785" spans="33:100">
      <c r="AG785" s="262"/>
      <c r="AH785" s="262"/>
      <c r="AI785" s="262"/>
      <c r="AJ785" s="262"/>
      <c r="AK785" s="262"/>
      <c r="AL785" s="262"/>
      <c r="AM785" s="262"/>
      <c r="AN785" s="262"/>
      <c r="AO785" s="262"/>
      <c r="AP785" s="262"/>
      <c r="AQ785" s="262"/>
      <c r="AR785" s="262"/>
      <c r="AS785" s="262"/>
      <c r="AT785" s="262"/>
      <c r="AU785" s="262"/>
      <c r="AV785" s="262"/>
      <c r="AW785" s="262"/>
      <c r="AX785" s="262"/>
      <c r="AY785" s="262"/>
      <c r="AZ785" s="262"/>
      <c r="BA785" s="262"/>
      <c r="BB785" s="262"/>
      <c r="BC785" s="262"/>
      <c r="BD785" s="262"/>
      <c r="BE785" s="262"/>
      <c r="BF785" s="262"/>
      <c r="BG785" s="262"/>
      <c r="BH785" s="262"/>
      <c r="BI785" s="262"/>
      <c r="BJ785" s="262"/>
      <c r="BK785" s="262"/>
      <c r="BL785" s="262"/>
      <c r="BM785" s="262"/>
      <c r="BN785" s="262"/>
      <c r="BO785" s="262"/>
      <c r="BP785" s="262"/>
      <c r="BQ785" s="262"/>
      <c r="BR785" s="262"/>
      <c r="BS785" s="262"/>
      <c r="BT785" s="262"/>
      <c r="BU785" s="262"/>
      <c r="BV785" s="262"/>
      <c r="BW785" s="262"/>
      <c r="BX785" s="262"/>
      <c r="BY785" s="262"/>
      <c r="BZ785" s="262"/>
      <c r="CA785" s="262"/>
      <c r="CB785" s="262"/>
      <c r="CC785" s="262"/>
      <c r="CD785" s="262"/>
      <c r="CE785" s="262"/>
      <c r="CF785" s="262"/>
      <c r="CG785" s="262"/>
      <c r="CH785" s="262"/>
      <c r="CI785" s="262"/>
      <c r="CJ785" s="262"/>
      <c r="CK785" s="262"/>
      <c r="CL785" s="262"/>
      <c r="CM785" s="262"/>
      <c r="CN785" s="262"/>
      <c r="CO785" s="262"/>
      <c r="CP785" s="262"/>
      <c r="CQ785" s="262"/>
      <c r="CR785" s="262"/>
      <c r="CS785" s="262"/>
      <c r="CT785" s="262"/>
      <c r="CU785" s="262"/>
      <c r="CV785" s="262"/>
    </row>
    <row r="786" spans="33:100">
      <c r="AG786" s="262"/>
      <c r="AH786" s="262"/>
      <c r="AI786" s="262"/>
      <c r="AJ786" s="262"/>
      <c r="AK786" s="262"/>
      <c r="AL786" s="262"/>
      <c r="AM786" s="262"/>
      <c r="AN786" s="262"/>
      <c r="AO786" s="262"/>
      <c r="AP786" s="262"/>
      <c r="AQ786" s="262"/>
      <c r="AR786" s="262"/>
      <c r="AS786" s="262"/>
      <c r="AT786" s="262"/>
      <c r="AU786" s="262"/>
      <c r="AV786" s="262"/>
      <c r="AW786" s="262"/>
      <c r="AX786" s="262"/>
      <c r="AY786" s="262"/>
      <c r="AZ786" s="262"/>
      <c r="BA786" s="262"/>
      <c r="BB786" s="262"/>
      <c r="BC786" s="262"/>
      <c r="BD786" s="262"/>
      <c r="BE786" s="262"/>
      <c r="BF786" s="262"/>
      <c r="BG786" s="262"/>
      <c r="BH786" s="262"/>
      <c r="BI786" s="262"/>
      <c r="BJ786" s="262"/>
      <c r="BK786" s="262"/>
      <c r="BL786" s="262"/>
      <c r="BM786" s="262"/>
      <c r="BN786" s="262"/>
      <c r="BO786" s="262"/>
      <c r="BP786" s="262"/>
      <c r="BQ786" s="262"/>
      <c r="BR786" s="262"/>
      <c r="BS786" s="262"/>
      <c r="BT786" s="262"/>
      <c r="BU786" s="262"/>
      <c r="BV786" s="262"/>
      <c r="BW786" s="262"/>
      <c r="BX786" s="262"/>
      <c r="BY786" s="262"/>
      <c r="BZ786" s="262"/>
      <c r="CA786" s="262"/>
      <c r="CB786" s="262"/>
      <c r="CC786" s="262"/>
      <c r="CD786" s="262"/>
      <c r="CE786" s="262"/>
      <c r="CF786" s="262"/>
      <c r="CG786" s="262"/>
      <c r="CH786" s="262"/>
      <c r="CI786" s="262"/>
      <c r="CJ786" s="262"/>
      <c r="CK786" s="262"/>
      <c r="CL786" s="262"/>
      <c r="CM786" s="262"/>
      <c r="CN786" s="262"/>
      <c r="CO786" s="262"/>
      <c r="CP786" s="262"/>
      <c r="CQ786" s="262"/>
      <c r="CR786" s="262"/>
      <c r="CS786" s="262"/>
      <c r="CT786" s="262"/>
      <c r="CU786" s="262"/>
      <c r="CV786" s="262"/>
    </row>
    <row r="787" spans="33:100">
      <c r="AG787" s="262"/>
      <c r="AH787" s="262"/>
      <c r="AI787" s="262"/>
      <c r="AJ787" s="262"/>
      <c r="AK787" s="262"/>
      <c r="AL787" s="262"/>
      <c r="AM787" s="262"/>
      <c r="AN787" s="262"/>
      <c r="AO787" s="262"/>
      <c r="AP787" s="262"/>
      <c r="AQ787" s="262"/>
      <c r="AR787" s="262"/>
      <c r="AS787" s="262"/>
      <c r="AT787" s="262"/>
      <c r="AU787" s="262"/>
      <c r="AV787" s="262"/>
      <c r="AW787" s="262"/>
      <c r="AX787" s="262"/>
      <c r="AY787" s="262"/>
      <c r="AZ787" s="262"/>
      <c r="BA787" s="262"/>
      <c r="BB787" s="262"/>
      <c r="BC787" s="262"/>
      <c r="BD787" s="262"/>
      <c r="BE787" s="262"/>
      <c r="BF787" s="262"/>
      <c r="BG787" s="262"/>
      <c r="BH787" s="262"/>
      <c r="BI787" s="262"/>
      <c r="BJ787" s="262"/>
      <c r="BK787" s="262"/>
      <c r="BL787" s="262"/>
      <c r="BM787" s="262"/>
      <c r="BN787" s="262"/>
      <c r="BO787" s="262"/>
      <c r="BP787" s="262"/>
      <c r="BQ787" s="262"/>
      <c r="BR787" s="262"/>
      <c r="BS787" s="262"/>
      <c r="BT787" s="262"/>
      <c r="BU787" s="262"/>
      <c r="BV787" s="262"/>
      <c r="BW787" s="262"/>
      <c r="BX787" s="262"/>
      <c r="BY787" s="262"/>
      <c r="BZ787" s="262"/>
      <c r="CA787" s="262"/>
      <c r="CB787" s="262"/>
      <c r="CC787" s="262"/>
      <c r="CD787" s="262"/>
      <c r="CE787" s="262"/>
      <c r="CF787" s="262"/>
      <c r="CG787" s="262"/>
      <c r="CH787" s="262"/>
      <c r="CI787" s="262"/>
      <c r="CJ787" s="262"/>
      <c r="CK787" s="262"/>
      <c r="CL787" s="262"/>
      <c r="CM787" s="262"/>
      <c r="CN787" s="262"/>
      <c r="CO787" s="262"/>
      <c r="CP787" s="262"/>
      <c r="CQ787" s="262"/>
      <c r="CR787" s="262"/>
      <c r="CS787" s="262"/>
      <c r="CT787" s="262"/>
      <c r="CU787" s="262"/>
      <c r="CV787" s="262"/>
    </row>
    <row r="788" spans="33:100">
      <c r="AG788" s="262"/>
      <c r="AH788" s="262"/>
      <c r="AI788" s="262"/>
      <c r="AJ788" s="262"/>
      <c r="AK788" s="262"/>
      <c r="AL788" s="262"/>
      <c r="AM788" s="262"/>
      <c r="AN788" s="262"/>
      <c r="AO788" s="262"/>
      <c r="AP788" s="262"/>
      <c r="AQ788" s="262"/>
      <c r="AR788" s="262"/>
      <c r="AS788" s="262"/>
      <c r="AT788" s="262"/>
      <c r="AU788" s="262"/>
      <c r="AV788" s="262"/>
      <c r="AW788" s="262"/>
      <c r="AX788" s="262"/>
      <c r="AY788" s="262"/>
      <c r="AZ788" s="262"/>
      <c r="BA788" s="262"/>
      <c r="BB788" s="262"/>
      <c r="BC788" s="262"/>
      <c r="BD788" s="262"/>
      <c r="BE788" s="262"/>
      <c r="BF788" s="262"/>
      <c r="BG788" s="262"/>
      <c r="BH788" s="262"/>
      <c r="BI788" s="262"/>
      <c r="BJ788" s="262"/>
      <c r="BK788" s="262"/>
      <c r="BL788" s="262"/>
      <c r="BM788" s="262"/>
      <c r="BN788" s="262"/>
      <c r="BO788" s="262"/>
      <c r="BP788" s="262"/>
      <c r="BQ788" s="262"/>
      <c r="BR788" s="262"/>
      <c r="BS788" s="262"/>
      <c r="BT788" s="262"/>
      <c r="BU788" s="262"/>
      <c r="BV788" s="262"/>
      <c r="BW788" s="262"/>
      <c r="BX788" s="262"/>
      <c r="BY788" s="262"/>
      <c r="BZ788" s="262"/>
      <c r="CA788" s="262"/>
      <c r="CB788" s="262"/>
      <c r="CC788" s="262"/>
      <c r="CD788" s="262"/>
      <c r="CE788" s="262"/>
      <c r="CF788" s="262"/>
      <c r="CG788" s="262"/>
      <c r="CH788" s="262"/>
      <c r="CI788" s="262"/>
      <c r="CJ788" s="262"/>
      <c r="CK788" s="262"/>
      <c r="CL788" s="262"/>
      <c r="CM788" s="262"/>
      <c r="CN788" s="262"/>
      <c r="CO788" s="262"/>
      <c r="CP788" s="262"/>
      <c r="CQ788" s="262"/>
      <c r="CR788" s="262"/>
      <c r="CS788" s="262"/>
      <c r="CT788" s="262"/>
      <c r="CU788" s="262"/>
      <c r="CV788" s="262"/>
    </row>
    <row r="789" spans="33:100">
      <c r="AG789" s="262"/>
      <c r="AH789" s="262"/>
      <c r="AI789" s="262"/>
      <c r="AJ789" s="262"/>
      <c r="AK789" s="262"/>
      <c r="AL789" s="262"/>
      <c r="AM789" s="262"/>
      <c r="AN789" s="262"/>
      <c r="AO789" s="262"/>
      <c r="AP789" s="262"/>
      <c r="AQ789" s="262"/>
      <c r="AR789" s="262"/>
      <c r="AS789" s="262"/>
      <c r="AT789" s="262"/>
      <c r="AU789" s="262"/>
      <c r="AV789" s="262"/>
      <c r="AW789" s="262"/>
      <c r="AX789" s="262"/>
      <c r="AY789" s="262"/>
      <c r="AZ789" s="262"/>
      <c r="BA789" s="262"/>
      <c r="BB789" s="262"/>
      <c r="BC789" s="262"/>
      <c r="BD789" s="262"/>
      <c r="BE789" s="262"/>
      <c r="BF789" s="262"/>
      <c r="BG789" s="262"/>
      <c r="BH789" s="262"/>
      <c r="BI789" s="262"/>
      <c r="BJ789" s="262"/>
      <c r="BK789" s="262"/>
      <c r="BL789" s="262"/>
      <c r="BM789" s="262"/>
      <c r="BN789" s="262"/>
      <c r="BO789" s="262"/>
      <c r="BP789" s="262"/>
      <c r="BQ789" s="262"/>
      <c r="BR789" s="262"/>
      <c r="BS789" s="262"/>
      <c r="BT789" s="262"/>
      <c r="BU789" s="262"/>
      <c r="BV789" s="262"/>
      <c r="BW789" s="262"/>
      <c r="BX789" s="262"/>
      <c r="BY789" s="262"/>
      <c r="BZ789" s="262"/>
      <c r="CA789" s="262"/>
      <c r="CB789" s="262"/>
      <c r="CC789" s="262"/>
      <c r="CD789" s="262"/>
      <c r="CE789" s="262"/>
      <c r="CF789" s="262"/>
      <c r="CG789" s="262"/>
      <c r="CH789" s="262"/>
      <c r="CI789" s="262"/>
      <c r="CJ789" s="262"/>
      <c r="CK789" s="262"/>
      <c r="CL789" s="262"/>
      <c r="CM789" s="262"/>
      <c r="CN789" s="262"/>
      <c r="CO789" s="262"/>
      <c r="CP789" s="262"/>
      <c r="CQ789" s="262"/>
      <c r="CR789" s="262"/>
      <c r="CS789" s="262"/>
      <c r="CT789" s="262"/>
      <c r="CU789" s="262"/>
      <c r="CV789" s="262"/>
    </row>
    <row r="790" spans="33:100">
      <c r="AG790" s="262"/>
      <c r="AH790" s="262"/>
      <c r="AI790" s="262"/>
      <c r="AJ790" s="262"/>
      <c r="AK790" s="262"/>
      <c r="AL790" s="262"/>
      <c r="AM790" s="262"/>
      <c r="AN790" s="262"/>
      <c r="AO790" s="262"/>
      <c r="AP790" s="262"/>
      <c r="AQ790" s="262"/>
      <c r="AR790" s="262"/>
      <c r="AS790" s="262"/>
      <c r="AT790" s="262"/>
      <c r="AU790" s="262"/>
      <c r="AV790" s="262"/>
      <c r="AW790" s="262"/>
      <c r="AX790" s="262"/>
      <c r="AY790" s="262"/>
      <c r="AZ790" s="262"/>
      <c r="BA790" s="262"/>
      <c r="BB790" s="262"/>
      <c r="BC790" s="262"/>
      <c r="BD790" s="262"/>
      <c r="BE790" s="262"/>
      <c r="BF790" s="262"/>
      <c r="BG790" s="262"/>
      <c r="BH790" s="262"/>
      <c r="BI790" s="262"/>
      <c r="BJ790" s="262"/>
      <c r="BK790" s="262"/>
      <c r="BL790" s="262"/>
      <c r="BM790" s="262"/>
      <c r="BN790" s="262"/>
      <c r="BO790" s="262"/>
      <c r="BP790" s="262"/>
      <c r="BQ790" s="262"/>
      <c r="BR790" s="262"/>
      <c r="BS790" s="262"/>
      <c r="BT790" s="262"/>
      <c r="BU790" s="262"/>
      <c r="BV790" s="262"/>
      <c r="BW790" s="262"/>
      <c r="BX790" s="262"/>
      <c r="BY790" s="262"/>
      <c r="BZ790" s="262"/>
      <c r="CA790" s="262"/>
      <c r="CB790" s="262"/>
      <c r="CC790" s="262"/>
      <c r="CD790" s="262"/>
      <c r="CE790" s="262"/>
      <c r="CF790" s="262"/>
      <c r="CG790" s="262"/>
      <c r="CH790" s="262"/>
      <c r="CI790" s="262"/>
      <c r="CJ790" s="262"/>
      <c r="CK790" s="262"/>
      <c r="CL790" s="262"/>
      <c r="CM790" s="262"/>
      <c r="CN790" s="262"/>
      <c r="CO790" s="262"/>
      <c r="CP790" s="262"/>
      <c r="CQ790" s="262"/>
      <c r="CR790" s="262"/>
      <c r="CS790" s="262"/>
      <c r="CT790" s="262"/>
      <c r="CU790" s="262"/>
      <c r="CV790" s="262"/>
    </row>
    <row r="791" spans="33:100">
      <c r="AG791" s="262"/>
      <c r="AH791" s="262"/>
      <c r="AI791" s="262"/>
      <c r="AJ791" s="262"/>
      <c r="AK791" s="262"/>
      <c r="AL791" s="262"/>
      <c r="AM791" s="262"/>
      <c r="AN791" s="262"/>
      <c r="AO791" s="262"/>
      <c r="AP791" s="262"/>
      <c r="AQ791" s="262"/>
      <c r="AR791" s="262"/>
      <c r="AS791" s="262"/>
      <c r="AT791" s="262"/>
      <c r="AU791" s="262"/>
      <c r="AV791" s="262"/>
      <c r="AW791" s="262"/>
      <c r="AX791" s="262"/>
      <c r="AY791" s="262"/>
      <c r="AZ791" s="262"/>
      <c r="BA791" s="262"/>
      <c r="BB791" s="262"/>
      <c r="BC791" s="262"/>
      <c r="BD791" s="262"/>
      <c r="BE791" s="262"/>
      <c r="BF791" s="262"/>
      <c r="BG791" s="262"/>
      <c r="BH791" s="262"/>
      <c r="BI791" s="262"/>
      <c r="BJ791" s="262"/>
      <c r="BK791" s="262"/>
      <c r="BL791" s="262"/>
      <c r="BM791" s="262"/>
      <c r="BN791" s="262"/>
      <c r="BO791" s="262"/>
      <c r="BP791" s="262"/>
      <c r="BQ791" s="262"/>
      <c r="BR791" s="262"/>
      <c r="BS791" s="262"/>
      <c r="BT791" s="262"/>
      <c r="BU791" s="262"/>
      <c r="BV791" s="262"/>
      <c r="BW791" s="262"/>
      <c r="BX791" s="262"/>
      <c r="BY791" s="262"/>
      <c r="BZ791" s="262"/>
      <c r="CA791" s="262"/>
      <c r="CB791" s="262"/>
      <c r="CC791" s="262"/>
      <c r="CD791" s="262"/>
      <c r="CE791" s="262"/>
      <c r="CF791" s="262"/>
      <c r="CG791" s="262"/>
      <c r="CH791" s="262"/>
      <c r="CI791" s="262"/>
      <c r="CJ791" s="262"/>
      <c r="CK791" s="262"/>
      <c r="CL791" s="262"/>
      <c r="CM791" s="262"/>
      <c r="CN791" s="262"/>
      <c r="CO791" s="262"/>
      <c r="CP791" s="262"/>
      <c r="CQ791" s="262"/>
      <c r="CR791" s="262"/>
      <c r="CS791" s="262"/>
      <c r="CT791" s="262"/>
      <c r="CU791" s="262"/>
      <c r="CV791" s="262"/>
    </row>
    <row r="792" spans="33:100">
      <c r="AG792" s="262"/>
      <c r="AH792" s="262"/>
      <c r="AI792" s="262"/>
      <c r="AJ792" s="262"/>
      <c r="AK792" s="262"/>
      <c r="AL792" s="262"/>
      <c r="AM792" s="262"/>
      <c r="AN792" s="262"/>
      <c r="AO792" s="262"/>
      <c r="AP792" s="262"/>
      <c r="AQ792" s="262"/>
      <c r="AR792" s="262"/>
      <c r="AS792" s="262"/>
      <c r="AT792" s="262"/>
      <c r="AU792" s="262"/>
      <c r="AV792" s="262"/>
      <c r="AW792" s="262"/>
      <c r="AX792" s="262"/>
      <c r="AY792" s="262"/>
      <c r="AZ792" s="262"/>
      <c r="BA792" s="262"/>
      <c r="BB792" s="262"/>
      <c r="BC792" s="262"/>
      <c r="BD792" s="262"/>
      <c r="BE792" s="262"/>
      <c r="BF792" s="262"/>
      <c r="BG792" s="262"/>
      <c r="BH792" s="262"/>
      <c r="BI792" s="262"/>
      <c r="BJ792" s="262"/>
      <c r="BK792" s="262"/>
      <c r="BL792" s="262"/>
      <c r="BM792" s="262"/>
      <c r="BN792" s="262"/>
      <c r="BO792" s="262"/>
      <c r="BP792" s="262"/>
      <c r="BQ792" s="262"/>
      <c r="BR792" s="262"/>
      <c r="BS792" s="262"/>
      <c r="BT792" s="262"/>
      <c r="BU792" s="262"/>
      <c r="BV792" s="262"/>
      <c r="BW792" s="262"/>
      <c r="BX792" s="262"/>
      <c r="BY792" s="262"/>
      <c r="BZ792" s="262"/>
      <c r="CA792" s="262"/>
      <c r="CB792" s="262"/>
      <c r="CC792" s="262"/>
      <c r="CD792" s="262"/>
      <c r="CE792" s="262"/>
      <c r="CF792" s="262"/>
      <c r="CG792" s="262"/>
      <c r="CH792" s="262"/>
      <c r="CI792" s="262"/>
      <c r="CJ792" s="262"/>
      <c r="CK792" s="262"/>
      <c r="CL792" s="262"/>
      <c r="CM792" s="262"/>
      <c r="CN792" s="262"/>
      <c r="CO792" s="262"/>
      <c r="CP792" s="262"/>
      <c r="CQ792" s="262"/>
      <c r="CR792" s="262"/>
      <c r="CS792" s="262"/>
      <c r="CT792" s="262"/>
      <c r="CU792" s="262"/>
      <c r="CV792" s="262"/>
    </row>
    <row r="793" spans="33:100">
      <c r="AG793" s="262"/>
      <c r="AH793" s="262"/>
      <c r="AI793" s="262"/>
      <c r="AJ793" s="262"/>
      <c r="AK793" s="262"/>
      <c r="AL793" s="262"/>
      <c r="AM793" s="262"/>
      <c r="AN793" s="262"/>
      <c r="AO793" s="262"/>
      <c r="AP793" s="262"/>
      <c r="AQ793" s="262"/>
      <c r="AR793" s="262"/>
      <c r="AS793" s="262"/>
      <c r="AT793" s="262"/>
      <c r="AU793" s="262"/>
      <c r="AV793" s="262"/>
      <c r="AW793" s="262"/>
      <c r="AX793" s="262"/>
      <c r="AY793" s="262"/>
      <c r="AZ793" s="262"/>
      <c r="BA793" s="262"/>
      <c r="BB793" s="262"/>
      <c r="BC793" s="262"/>
      <c r="BD793" s="262"/>
      <c r="BE793" s="262"/>
      <c r="BF793" s="262"/>
      <c r="BG793" s="262"/>
      <c r="BH793" s="262"/>
      <c r="BI793" s="262"/>
      <c r="BJ793" s="262"/>
      <c r="BK793" s="262"/>
      <c r="BL793" s="262"/>
      <c r="BM793" s="262"/>
      <c r="BN793" s="262"/>
      <c r="BO793" s="262"/>
      <c r="BP793" s="262"/>
      <c r="BQ793" s="262"/>
      <c r="BR793" s="262"/>
      <c r="BS793" s="262"/>
      <c r="BT793" s="262"/>
      <c r="BU793" s="262"/>
      <c r="BV793" s="262"/>
      <c r="BW793" s="262"/>
      <c r="BX793" s="262"/>
      <c r="BY793" s="262"/>
      <c r="BZ793" s="262"/>
      <c r="CA793" s="262"/>
      <c r="CB793" s="262"/>
      <c r="CC793" s="262"/>
      <c r="CD793" s="262"/>
      <c r="CE793" s="262"/>
      <c r="CF793" s="262"/>
      <c r="CG793" s="262"/>
      <c r="CH793" s="262"/>
      <c r="CI793" s="262"/>
      <c r="CJ793" s="262"/>
      <c r="CK793" s="262"/>
      <c r="CL793" s="262"/>
      <c r="CM793" s="262"/>
      <c r="CN793" s="262"/>
      <c r="CO793" s="262"/>
      <c r="CP793" s="262"/>
      <c r="CQ793" s="262"/>
      <c r="CR793" s="262"/>
      <c r="CS793" s="262"/>
      <c r="CT793" s="262"/>
      <c r="CU793" s="262"/>
      <c r="CV793" s="262"/>
    </row>
    <row r="794" spans="33:100">
      <c r="AG794" s="262"/>
      <c r="AH794" s="262"/>
      <c r="AI794" s="262"/>
      <c r="AJ794" s="262"/>
      <c r="AK794" s="262"/>
      <c r="AL794" s="262"/>
      <c r="AM794" s="262"/>
      <c r="AN794" s="262"/>
      <c r="AO794" s="262"/>
      <c r="AP794" s="262"/>
      <c r="AQ794" s="262"/>
      <c r="AR794" s="262"/>
      <c r="AS794" s="262"/>
      <c r="AT794" s="262"/>
      <c r="AU794" s="262"/>
      <c r="AV794" s="262"/>
      <c r="AW794" s="262"/>
      <c r="AX794" s="262"/>
      <c r="AY794" s="262"/>
      <c r="AZ794" s="262"/>
      <c r="BA794" s="262"/>
      <c r="BB794" s="262"/>
      <c r="BC794" s="262"/>
      <c r="BD794" s="262"/>
      <c r="BE794" s="262"/>
      <c r="BF794" s="262"/>
      <c r="BG794" s="262"/>
      <c r="BH794" s="262"/>
      <c r="BI794" s="262"/>
      <c r="BJ794" s="262"/>
      <c r="BK794" s="262"/>
      <c r="BL794" s="262"/>
      <c r="BM794" s="262"/>
      <c r="BN794" s="262"/>
      <c r="BO794" s="262"/>
      <c r="BP794" s="262"/>
      <c r="BQ794" s="262"/>
      <c r="BR794" s="262"/>
      <c r="BS794" s="262"/>
      <c r="BT794" s="262"/>
      <c r="BU794" s="262"/>
      <c r="BV794" s="262"/>
      <c r="BW794" s="262"/>
      <c r="BX794" s="262"/>
      <c r="BY794" s="262"/>
      <c r="BZ794" s="262"/>
      <c r="CA794" s="262"/>
      <c r="CB794" s="262"/>
      <c r="CC794" s="262"/>
      <c r="CD794" s="262"/>
      <c r="CE794" s="262"/>
      <c r="CF794" s="262"/>
      <c r="CG794" s="262"/>
      <c r="CH794" s="262"/>
      <c r="CI794" s="262"/>
      <c r="CJ794" s="262"/>
      <c r="CK794" s="262"/>
      <c r="CL794" s="262"/>
      <c r="CM794" s="262"/>
      <c r="CN794" s="262"/>
      <c r="CO794" s="262"/>
      <c r="CP794" s="262"/>
      <c r="CQ794" s="262"/>
      <c r="CR794" s="262"/>
      <c r="CS794" s="262"/>
      <c r="CT794" s="262"/>
      <c r="CU794" s="262"/>
      <c r="CV794" s="262"/>
    </row>
    <row r="795" spans="33:100">
      <c r="AG795" s="262"/>
      <c r="AH795" s="262"/>
      <c r="AI795" s="262"/>
      <c r="AJ795" s="262"/>
      <c r="AK795" s="262"/>
      <c r="AL795" s="262"/>
      <c r="AM795" s="262"/>
      <c r="AN795" s="262"/>
      <c r="AO795" s="262"/>
      <c r="AP795" s="262"/>
      <c r="AQ795" s="262"/>
      <c r="AR795" s="262"/>
      <c r="AS795" s="262"/>
      <c r="AT795" s="262"/>
      <c r="AU795" s="262"/>
      <c r="AV795" s="262"/>
      <c r="AW795" s="262"/>
      <c r="AX795" s="262"/>
      <c r="AY795" s="262"/>
      <c r="AZ795" s="262"/>
      <c r="BA795" s="262"/>
      <c r="BB795" s="262"/>
      <c r="BC795" s="262"/>
      <c r="BD795" s="262"/>
      <c r="BE795" s="262"/>
      <c r="BF795" s="262"/>
      <c r="BG795" s="262"/>
      <c r="BH795" s="262"/>
      <c r="BI795" s="262"/>
      <c r="BJ795" s="262"/>
      <c r="BK795" s="262"/>
      <c r="BL795" s="262"/>
      <c r="BM795" s="262"/>
      <c r="BN795" s="262"/>
      <c r="BO795" s="262"/>
      <c r="BP795" s="262"/>
      <c r="BQ795" s="262"/>
      <c r="BR795" s="262"/>
      <c r="BS795" s="262"/>
      <c r="BT795" s="262"/>
      <c r="BU795" s="262"/>
      <c r="BV795" s="262"/>
      <c r="BW795" s="262"/>
      <c r="BX795" s="262"/>
      <c r="BY795" s="262"/>
      <c r="BZ795" s="262"/>
      <c r="CA795" s="262"/>
      <c r="CB795" s="262"/>
      <c r="CC795" s="262"/>
      <c r="CD795" s="262"/>
      <c r="CE795" s="262"/>
      <c r="CF795" s="262"/>
      <c r="CG795" s="262"/>
      <c r="CH795" s="262"/>
      <c r="CI795" s="262"/>
      <c r="CJ795" s="262"/>
      <c r="CK795" s="262"/>
      <c r="CL795" s="262"/>
      <c r="CM795" s="262"/>
      <c r="CN795" s="262"/>
      <c r="CO795" s="262"/>
      <c r="CP795" s="262"/>
      <c r="CQ795" s="262"/>
      <c r="CR795" s="262"/>
      <c r="CS795" s="262"/>
      <c r="CT795" s="262"/>
      <c r="CU795" s="262"/>
      <c r="CV795" s="262"/>
    </row>
    <row r="796" spans="33:100">
      <c r="AG796" s="262"/>
      <c r="AH796" s="262"/>
      <c r="AI796" s="262"/>
      <c r="AJ796" s="262"/>
      <c r="AK796" s="262"/>
      <c r="AL796" s="262"/>
      <c r="AM796" s="262"/>
      <c r="AN796" s="262"/>
      <c r="AO796" s="262"/>
      <c r="AP796" s="262"/>
      <c r="AQ796" s="262"/>
      <c r="AR796" s="262"/>
      <c r="AS796" s="262"/>
      <c r="AT796" s="262"/>
      <c r="AU796" s="262"/>
      <c r="AV796" s="262"/>
      <c r="AW796" s="262"/>
      <c r="AX796" s="262"/>
      <c r="AY796" s="262"/>
      <c r="AZ796" s="262"/>
      <c r="BA796" s="262"/>
      <c r="BB796" s="262"/>
      <c r="BC796" s="262"/>
      <c r="BD796" s="262"/>
      <c r="BE796" s="262"/>
      <c r="BF796" s="262"/>
      <c r="BG796" s="262"/>
      <c r="BH796" s="262"/>
      <c r="BI796" s="262"/>
      <c r="BJ796" s="262"/>
      <c r="BK796" s="262"/>
      <c r="BL796" s="262"/>
      <c r="BM796" s="262"/>
      <c r="BN796" s="262"/>
      <c r="BO796" s="262"/>
      <c r="BP796" s="262"/>
      <c r="BQ796" s="262"/>
      <c r="BR796" s="262"/>
      <c r="BS796" s="262"/>
      <c r="BT796" s="262"/>
      <c r="BU796" s="262"/>
      <c r="BV796" s="262"/>
      <c r="BW796" s="262"/>
      <c r="BX796" s="262"/>
      <c r="BY796" s="262"/>
      <c r="BZ796" s="262"/>
      <c r="CA796" s="262"/>
      <c r="CB796" s="262"/>
      <c r="CC796" s="262"/>
      <c r="CD796" s="262"/>
      <c r="CE796" s="262"/>
      <c r="CF796" s="262"/>
      <c r="CG796" s="262"/>
      <c r="CH796" s="262"/>
      <c r="CI796" s="262"/>
      <c r="CJ796" s="262"/>
      <c r="CK796" s="262"/>
      <c r="CL796" s="262"/>
      <c r="CM796" s="262"/>
      <c r="CN796" s="262"/>
      <c r="CO796" s="262"/>
      <c r="CP796" s="262"/>
      <c r="CQ796" s="262"/>
      <c r="CR796" s="262"/>
      <c r="CS796" s="262"/>
      <c r="CT796" s="262"/>
      <c r="CU796" s="262"/>
      <c r="CV796" s="262"/>
    </row>
    <row r="797" spans="33:100">
      <c r="AG797" s="262"/>
      <c r="AH797" s="262"/>
      <c r="AI797" s="262"/>
      <c r="AJ797" s="262"/>
      <c r="AK797" s="262"/>
      <c r="AL797" s="262"/>
      <c r="AM797" s="262"/>
      <c r="AN797" s="262"/>
      <c r="AO797" s="262"/>
      <c r="AP797" s="262"/>
      <c r="AQ797" s="262"/>
      <c r="AR797" s="262"/>
      <c r="AS797" s="262"/>
      <c r="AT797" s="262"/>
      <c r="AU797" s="262"/>
      <c r="AV797" s="262"/>
      <c r="AW797" s="262"/>
      <c r="AX797" s="262"/>
      <c r="AY797" s="262"/>
      <c r="AZ797" s="262"/>
      <c r="BA797" s="262"/>
      <c r="BB797" s="262"/>
      <c r="BC797" s="262"/>
      <c r="BD797" s="262"/>
      <c r="BE797" s="262"/>
      <c r="BF797" s="262"/>
      <c r="BG797" s="262"/>
      <c r="BH797" s="262"/>
      <c r="BI797" s="262"/>
      <c r="BJ797" s="262"/>
      <c r="BK797" s="262"/>
      <c r="BL797" s="262"/>
      <c r="BM797" s="262"/>
      <c r="BN797" s="262"/>
      <c r="BO797" s="262"/>
      <c r="BP797" s="262"/>
      <c r="BQ797" s="262"/>
      <c r="BR797" s="262"/>
      <c r="BS797" s="262"/>
      <c r="BT797" s="262"/>
      <c r="BU797" s="262"/>
      <c r="BV797" s="262"/>
      <c r="BW797" s="262"/>
      <c r="BX797" s="262"/>
      <c r="BY797" s="262"/>
      <c r="BZ797" s="262"/>
      <c r="CA797" s="262"/>
      <c r="CB797" s="262"/>
      <c r="CC797" s="262"/>
      <c r="CD797" s="262"/>
      <c r="CE797" s="262"/>
      <c r="CF797" s="262"/>
      <c r="CG797" s="262"/>
      <c r="CH797" s="262"/>
      <c r="CI797" s="262"/>
      <c r="CJ797" s="262"/>
      <c r="CK797" s="262"/>
      <c r="CL797" s="262"/>
      <c r="CM797" s="262"/>
      <c r="CN797" s="262"/>
      <c r="CO797" s="262"/>
      <c r="CP797" s="262"/>
      <c r="CQ797" s="262"/>
      <c r="CR797" s="262"/>
      <c r="CS797" s="262"/>
      <c r="CT797" s="262"/>
      <c r="CU797" s="262"/>
      <c r="CV797" s="262"/>
    </row>
    <row r="798" spans="33:100">
      <c r="AG798" s="262"/>
      <c r="AH798" s="262"/>
      <c r="AI798" s="262"/>
      <c r="AJ798" s="262"/>
      <c r="AK798" s="262"/>
      <c r="AL798" s="262"/>
      <c r="AM798" s="262"/>
      <c r="AN798" s="262"/>
      <c r="AO798" s="262"/>
      <c r="AP798" s="262"/>
      <c r="AQ798" s="262"/>
      <c r="AR798" s="262"/>
      <c r="AS798" s="262"/>
      <c r="AT798" s="262"/>
      <c r="AU798" s="262"/>
      <c r="AV798" s="262"/>
      <c r="AW798" s="262"/>
      <c r="AX798" s="262"/>
      <c r="AY798" s="262"/>
      <c r="AZ798" s="262"/>
      <c r="BA798" s="262"/>
      <c r="BB798" s="262"/>
      <c r="BC798" s="262"/>
      <c r="BD798" s="262"/>
      <c r="BE798" s="262"/>
      <c r="BF798" s="262"/>
      <c r="BG798" s="262"/>
      <c r="BH798" s="262"/>
      <c r="BI798" s="262"/>
      <c r="BJ798" s="262"/>
      <c r="BK798" s="262"/>
      <c r="BL798" s="262"/>
      <c r="BM798" s="262"/>
      <c r="BN798" s="262"/>
      <c r="BO798" s="262"/>
      <c r="BP798" s="262"/>
      <c r="BQ798" s="262"/>
      <c r="BR798" s="262"/>
      <c r="BS798" s="262"/>
      <c r="BT798" s="262"/>
      <c r="BU798" s="262"/>
      <c r="BV798" s="262"/>
      <c r="BW798" s="262"/>
      <c r="BX798" s="262"/>
      <c r="BY798" s="262"/>
      <c r="BZ798" s="262"/>
      <c r="CA798" s="262"/>
      <c r="CB798" s="262"/>
      <c r="CC798" s="262"/>
      <c r="CD798" s="262"/>
      <c r="CE798" s="262"/>
      <c r="CF798" s="262"/>
      <c r="CG798" s="262"/>
      <c r="CH798" s="262"/>
      <c r="CI798" s="262"/>
      <c r="CJ798" s="262"/>
      <c r="CK798" s="262"/>
      <c r="CL798" s="262"/>
      <c r="CM798" s="262"/>
      <c r="CN798" s="262"/>
      <c r="CO798" s="262"/>
      <c r="CP798" s="262"/>
      <c r="CQ798" s="262"/>
      <c r="CR798" s="262"/>
      <c r="CS798" s="262"/>
      <c r="CT798" s="262"/>
      <c r="CU798" s="262"/>
      <c r="CV798" s="262"/>
    </row>
    <row r="799" spans="33:100">
      <c r="AG799" s="262"/>
      <c r="AH799" s="262"/>
      <c r="AI799" s="262"/>
      <c r="AJ799" s="262"/>
      <c r="AK799" s="262"/>
      <c r="AL799" s="262"/>
      <c r="AM799" s="262"/>
      <c r="AN799" s="262"/>
      <c r="AO799" s="262"/>
      <c r="AP799" s="262"/>
      <c r="AQ799" s="262"/>
      <c r="AR799" s="262"/>
      <c r="AS799" s="262"/>
      <c r="AT799" s="262"/>
      <c r="AU799" s="262"/>
      <c r="AV799" s="262"/>
      <c r="AW799" s="262"/>
      <c r="AX799" s="262"/>
      <c r="AY799" s="262"/>
      <c r="AZ799" s="262"/>
      <c r="BA799" s="262"/>
      <c r="BB799" s="262"/>
      <c r="BC799" s="262"/>
      <c r="BD799" s="262"/>
      <c r="BE799" s="262"/>
      <c r="BF799" s="262"/>
      <c r="BG799" s="262"/>
      <c r="BH799" s="262"/>
      <c r="BI799" s="262"/>
      <c r="BJ799" s="262"/>
      <c r="BK799" s="262"/>
      <c r="BL799" s="262"/>
      <c r="BM799" s="262"/>
      <c r="BN799" s="262"/>
      <c r="BO799" s="262"/>
      <c r="BP799" s="262"/>
      <c r="BQ799" s="262"/>
      <c r="BR799" s="262"/>
      <c r="BS799" s="262"/>
      <c r="BT799" s="262"/>
      <c r="BU799" s="262"/>
      <c r="BV799" s="262"/>
      <c r="BW799" s="262"/>
      <c r="BX799" s="262"/>
      <c r="BY799" s="262"/>
      <c r="BZ799" s="262"/>
      <c r="CA799" s="262"/>
      <c r="CB799" s="262"/>
      <c r="CC799" s="262"/>
      <c r="CD799" s="262"/>
      <c r="CE799" s="262"/>
      <c r="CF799" s="262"/>
      <c r="CG799" s="262"/>
      <c r="CH799" s="262"/>
      <c r="CI799" s="262"/>
      <c r="CJ799" s="262"/>
      <c r="CK799" s="262"/>
      <c r="CL799" s="262"/>
      <c r="CM799" s="262"/>
      <c r="CN799" s="262"/>
      <c r="CO799" s="262"/>
      <c r="CP799" s="262"/>
      <c r="CQ799" s="262"/>
      <c r="CR799" s="262"/>
      <c r="CS799" s="262"/>
      <c r="CT799" s="262"/>
      <c r="CU799" s="262"/>
      <c r="CV799" s="262"/>
    </row>
    <row r="800" spans="33:100">
      <c r="AG800" s="262"/>
      <c r="AH800" s="262"/>
      <c r="AI800" s="262"/>
      <c r="AJ800" s="262"/>
      <c r="AK800" s="262"/>
      <c r="AL800" s="262"/>
      <c r="AM800" s="262"/>
      <c r="AN800" s="262"/>
      <c r="AO800" s="262"/>
      <c r="AP800" s="262"/>
      <c r="AQ800" s="262"/>
      <c r="AR800" s="262"/>
      <c r="AS800" s="262"/>
      <c r="AT800" s="262"/>
      <c r="AU800" s="262"/>
      <c r="AV800" s="262"/>
      <c r="AW800" s="262"/>
      <c r="AX800" s="262"/>
      <c r="AY800" s="262"/>
      <c r="AZ800" s="262"/>
      <c r="BA800" s="262"/>
      <c r="BB800" s="262"/>
      <c r="BC800" s="262"/>
      <c r="BD800" s="262"/>
      <c r="BE800" s="262"/>
      <c r="BF800" s="262"/>
      <c r="BG800" s="262"/>
      <c r="BH800" s="262"/>
      <c r="BI800" s="262"/>
      <c r="BJ800" s="262"/>
      <c r="BK800" s="262"/>
      <c r="BL800" s="262"/>
      <c r="BM800" s="262"/>
      <c r="BN800" s="262"/>
      <c r="BO800" s="262"/>
      <c r="BP800" s="262"/>
      <c r="BQ800" s="262"/>
      <c r="BR800" s="262"/>
      <c r="BS800" s="262"/>
      <c r="BT800" s="262"/>
      <c r="BU800" s="262"/>
      <c r="BV800" s="262"/>
      <c r="BW800" s="262"/>
      <c r="BX800" s="262"/>
      <c r="BY800" s="262"/>
      <c r="BZ800" s="262"/>
      <c r="CA800" s="262"/>
      <c r="CB800" s="262"/>
      <c r="CC800" s="262"/>
      <c r="CD800" s="262"/>
      <c r="CE800" s="262"/>
      <c r="CF800" s="262"/>
      <c r="CG800" s="262"/>
      <c r="CH800" s="262"/>
      <c r="CI800" s="262"/>
      <c r="CJ800" s="262"/>
      <c r="CK800" s="262"/>
      <c r="CL800" s="262"/>
      <c r="CM800" s="262"/>
      <c r="CN800" s="262"/>
      <c r="CO800" s="262"/>
      <c r="CP800" s="262"/>
      <c r="CQ800" s="262"/>
      <c r="CR800" s="262"/>
      <c r="CS800" s="262"/>
      <c r="CT800" s="262"/>
      <c r="CU800" s="262"/>
      <c r="CV800" s="262"/>
    </row>
    <row r="801" spans="33:100">
      <c r="AG801" s="262"/>
      <c r="AH801" s="262"/>
      <c r="AI801" s="262"/>
      <c r="AJ801" s="262"/>
      <c r="AK801" s="262"/>
      <c r="AL801" s="262"/>
      <c r="AM801" s="262"/>
      <c r="AN801" s="262"/>
      <c r="AO801" s="262"/>
      <c r="AP801" s="262"/>
      <c r="AQ801" s="262"/>
      <c r="AR801" s="262"/>
      <c r="AS801" s="262"/>
      <c r="AT801" s="262"/>
      <c r="AU801" s="262"/>
      <c r="AV801" s="262"/>
      <c r="AW801" s="262"/>
      <c r="AX801" s="262"/>
      <c r="AY801" s="262"/>
      <c r="AZ801" s="262"/>
      <c r="BA801" s="262"/>
      <c r="BB801" s="262"/>
      <c r="BC801" s="262"/>
      <c r="BD801" s="262"/>
      <c r="BE801" s="262"/>
      <c r="BF801" s="262"/>
      <c r="BG801" s="262"/>
      <c r="BH801" s="262"/>
      <c r="BI801" s="262"/>
      <c r="BJ801" s="262"/>
      <c r="BK801" s="262"/>
      <c r="BL801" s="262"/>
      <c r="BM801" s="262"/>
      <c r="BN801" s="262"/>
      <c r="BO801" s="262"/>
      <c r="BP801" s="262"/>
      <c r="BQ801" s="262"/>
      <c r="BR801" s="262"/>
      <c r="BS801" s="262"/>
      <c r="BT801" s="262"/>
      <c r="BU801" s="262"/>
      <c r="BV801" s="262"/>
      <c r="BW801" s="262"/>
      <c r="BX801" s="262"/>
      <c r="BY801" s="262"/>
      <c r="BZ801" s="262"/>
      <c r="CA801" s="262"/>
      <c r="CB801" s="262"/>
      <c r="CC801" s="262"/>
      <c r="CD801" s="262"/>
      <c r="CE801" s="262"/>
      <c r="CF801" s="262"/>
      <c r="CG801" s="262"/>
      <c r="CH801" s="262"/>
      <c r="CI801" s="262"/>
      <c r="CJ801" s="262"/>
      <c r="CK801" s="262"/>
      <c r="CL801" s="262"/>
      <c r="CM801" s="262"/>
      <c r="CN801" s="262"/>
      <c r="CO801" s="262"/>
      <c r="CP801" s="262"/>
      <c r="CQ801" s="262"/>
      <c r="CR801" s="262"/>
      <c r="CS801" s="262"/>
      <c r="CT801" s="262"/>
      <c r="CU801" s="262"/>
      <c r="CV801" s="262"/>
    </row>
    <row r="802" spans="33:100">
      <c r="AG802" s="262"/>
      <c r="AH802" s="262"/>
      <c r="AI802" s="262"/>
      <c r="AJ802" s="262"/>
      <c r="AK802" s="262"/>
      <c r="AL802" s="262"/>
      <c r="AM802" s="262"/>
      <c r="AN802" s="262"/>
      <c r="AO802" s="262"/>
      <c r="AP802" s="262"/>
      <c r="AQ802" s="262"/>
      <c r="AR802" s="262"/>
      <c r="AS802" s="262"/>
      <c r="AT802" s="262"/>
      <c r="AU802" s="262"/>
      <c r="AV802" s="262"/>
      <c r="AW802" s="262"/>
      <c r="AX802" s="262"/>
      <c r="AY802" s="262"/>
      <c r="AZ802" s="262"/>
      <c r="BA802" s="262"/>
      <c r="BB802" s="262"/>
      <c r="BC802" s="262"/>
      <c r="BD802" s="262"/>
      <c r="BE802" s="262"/>
      <c r="BF802" s="262"/>
      <c r="BG802" s="262"/>
      <c r="BH802" s="262"/>
      <c r="BI802" s="262"/>
      <c r="BJ802" s="262"/>
      <c r="BK802" s="262"/>
      <c r="BL802" s="262"/>
      <c r="BM802" s="262"/>
      <c r="BN802" s="262"/>
      <c r="BO802" s="262"/>
      <c r="BP802" s="262"/>
      <c r="BQ802" s="262"/>
      <c r="BR802" s="262"/>
      <c r="BS802" s="262"/>
      <c r="BT802" s="262"/>
      <c r="BU802" s="262"/>
      <c r="BV802" s="262"/>
      <c r="BW802" s="262"/>
      <c r="BX802" s="262"/>
      <c r="BY802" s="262"/>
      <c r="BZ802" s="262"/>
      <c r="CA802" s="262"/>
      <c r="CB802" s="262"/>
      <c r="CC802" s="262"/>
      <c r="CD802" s="262"/>
      <c r="CE802" s="262"/>
      <c r="CF802" s="262"/>
      <c r="CG802" s="262"/>
      <c r="CH802" s="262"/>
      <c r="CI802" s="262"/>
      <c r="CJ802" s="262"/>
      <c r="CK802" s="262"/>
      <c r="CL802" s="262"/>
      <c r="CM802" s="262"/>
      <c r="CN802" s="262"/>
      <c r="CO802" s="262"/>
      <c r="CP802" s="262"/>
      <c r="CQ802" s="262"/>
      <c r="CR802" s="262"/>
      <c r="CS802" s="262"/>
      <c r="CT802" s="262"/>
      <c r="CU802" s="262"/>
      <c r="CV802" s="262"/>
    </row>
    <row r="803" spans="33:100">
      <c r="AG803" s="262"/>
      <c r="AH803" s="262"/>
      <c r="AI803" s="262"/>
      <c r="AJ803" s="262"/>
      <c r="AK803" s="262"/>
      <c r="AL803" s="262"/>
      <c r="AM803" s="262"/>
      <c r="AN803" s="262"/>
      <c r="AO803" s="262"/>
      <c r="AP803" s="262"/>
      <c r="AQ803" s="262"/>
      <c r="AR803" s="262"/>
      <c r="AS803" s="262"/>
      <c r="AT803" s="262"/>
      <c r="AU803" s="262"/>
      <c r="AV803" s="262"/>
      <c r="AW803" s="262"/>
      <c r="AX803" s="262"/>
      <c r="AY803" s="262"/>
      <c r="AZ803" s="262"/>
      <c r="BA803" s="262"/>
      <c r="BB803" s="262"/>
      <c r="BC803" s="262"/>
      <c r="BD803" s="262"/>
      <c r="BE803" s="262"/>
      <c r="BF803" s="262"/>
      <c r="BG803" s="262"/>
      <c r="BH803" s="262"/>
      <c r="BI803" s="262"/>
      <c r="BJ803" s="262"/>
      <c r="BK803" s="262"/>
      <c r="BL803" s="262"/>
      <c r="BM803" s="262"/>
      <c r="BN803" s="262"/>
      <c r="BO803" s="262"/>
      <c r="BP803" s="262"/>
      <c r="BQ803" s="262"/>
      <c r="BR803" s="262"/>
      <c r="BS803" s="262"/>
      <c r="BT803" s="262"/>
      <c r="BU803" s="262"/>
      <c r="BV803" s="262"/>
      <c r="BW803" s="262"/>
      <c r="BX803" s="262"/>
      <c r="BY803" s="262"/>
      <c r="BZ803" s="262"/>
      <c r="CA803" s="262"/>
      <c r="CB803" s="262"/>
      <c r="CC803" s="262"/>
      <c r="CD803" s="262"/>
      <c r="CE803" s="262"/>
      <c r="CF803" s="262"/>
      <c r="CG803" s="262"/>
      <c r="CH803" s="262"/>
      <c r="CI803" s="262"/>
      <c r="CJ803" s="262"/>
      <c r="CK803" s="262"/>
      <c r="CL803" s="262"/>
      <c r="CM803" s="262"/>
      <c r="CN803" s="262"/>
      <c r="CO803" s="262"/>
      <c r="CP803" s="262"/>
      <c r="CQ803" s="262"/>
      <c r="CR803" s="262"/>
      <c r="CS803" s="262"/>
      <c r="CT803" s="262"/>
      <c r="CU803" s="262"/>
      <c r="CV803" s="262"/>
    </row>
    <row r="804" spans="33:100">
      <c r="AG804" s="262"/>
      <c r="AH804" s="262"/>
      <c r="AI804" s="262"/>
      <c r="AJ804" s="262"/>
      <c r="AK804" s="262"/>
      <c r="AL804" s="262"/>
      <c r="AM804" s="262"/>
      <c r="AN804" s="262"/>
      <c r="AO804" s="262"/>
      <c r="AP804" s="262"/>
      <c r="AQ804" s="262"/>
      <c r="AR804" s="262"/>
      <c r="AS804" s="262"/>
      <c r="AT804" s="262"/>
      <c r="AU804" s="262"/>
      <c r="AV804" s="262"/>
      <c r="AW804" s="262"/>
      <c r="AX804" s="262"/>
      <c r="AY804" s="262"/>
      <c r="AZ804" s="262"/>
      <c r="BA804" s="262"/>
      <c r="BB804" s="262"/>
      <c r="BC804" s="262"/>
      <c r="BD804" s="262"/>
      <c r="BE804" s="262"/>
      <c r="BF804" s="262"/>
      <c r="BG804" s="262"/>
      <c r="BH804" s="262"/>
      <c r="BI804" s="262"/>
      <c r="BJ804" s="262"/>
      <c r="BK804" s="262"/>
      <c r="BL804" s="262"/>
      <c r="BM804" s="262"/>
      <c r="BN804" s="262"/>
      <c r="BO804" s="262"/>
      <c r="BP804" s="262"/>
      <c r="BQ804" s="262"/>
      <c r="BR804" s="262"/>
      <c r="BS804" s="262"/>
      <c r="BT804" s="262"/>
      <c r="BU804" s="262"/>
      <c r="BV804" s="262"/>
      <c r="BW804" s="262"/>
      <c r="BX804" s="262"/>
      <c r="BY804" s="262"/>
      <c r="BZ804" s="262"/>
      <c r="CA804" s="262"/>
      <c r="CB804" s="262"/>
      <c r="CC804" s="262"/>
      <c r="CD804" s="262"/>
      <c r="CE804" s="262"/>
      <c r="CF804" s="262"/>
      <c r="CG804" s="262"/>
      <c r="CH804" s="262"/>
      <c r="CI804" s="262"/>
      <c r="CJ804" s="262"/>
      <c r="CK804" s="262"/>
      <c r="CL804" s="262"/>
      <c r="CM804" s="262"/>
      <c r="CN804" s="262"/>
      <c r="CO804" s="262"/>
      <c r="CP804" s="262"/>
      <c r="CQ804" s="262"/>
      <c r="CR804" s="262"/>
      <c r="CS804" s="262"/>
      <c r="CT804" s="262"/>
      <c r="CU804" s="262"/>
      <c r="CV804" s="262"/>
    </row>
    <row r="805" spans="33:100">
      <c r="AG805" s="262"/>
      <c r="AH805" s="262"/>
      <c r="AI805" s="262"/>
      <c r="AJ805" s="262"/>
      <c r="AK805" s="262"/>
      <c r="AL805" s="262"/>
      <c r="AM805" s="262"/>
      <c r="AN805" s="262"/>
      <c r="AO805" s="262"/>
      <c r="AP805" s="262"/>
      <c r="AQ805" s="262"/>
      <c r="AR805" s="262"/>
      <c r="AS805" s="262"/>
      <c r="AT805" s="262"/>
      <c r="AU805" s="262"/>
      <c r="AV805" s="262"/>
      <c r="AW805" s="262"/>
      <c r="AX805" s="262"/>
      <c r="AY805" s="262"/>
      <c r="AZ805" s="262"/>
      <c r="BA805" s="262"/>
      <c r="BB805" s="262"/>
      <c r="BC805" s="262"/>
      <c r="BD805" s="262"/>
      <c r="BE805" s="262"/>
      <c r="BF805" s="262"/>
      <c r="BG805" s="262"/>
      <c r="BH805" s="262"/>
      <c r="BI805" s="262"/>
      <c r="BJ805" s="262"/>
      <c r="BK805" s="262"/>
      <c r="BL805" s="262"/>
      <c r="BM805" s="262"/>
      <c r="BN805" s="262"/>
      <c r="BO805" s="262"/>
      <c r="BP805" s="262"/>
      <c r="BQ805" s="262"/>
      <c r="BR805" s="262"/>
      <c r="BS805" s="262"/>
      <c r="BT805" s="262"/>
      <c r="BU805" s="262"/>
      <c r="BV805" s="262"/>
      <c r="BW805" s="262"/>
      <c r="BX805" s="262"/>
      <c r="BY805" s="262"/>
      <c r="BZ805" s="262"/>
      <c r="CA805" s="262"/>
      <c r="CB805" s="262"/>
      <c r="CC805" s="262"/>
      <c r="CD805" s="262"/>
      <c r="CE805" s="262"/>
      <c r="CF805" s="262"/>
      <c r="CG805" s="262"/>
      <c r="CH805" s="262"/>
      <c r="CI805" s="262"/>
      <c r="CJ805" s="262"/>
      <c r="CK805" s="262"/>
      <c r="CL805" s="262"/>
      <c r="CM805" s="262"/>
      <c r="CN805" s="262"/>
      <c r="CO805" s="262"/>
      <c r="CP805" s="262"/>
      <c r="CQ805" s="262"/>
      <c r="CR805" s="262"/>
      <c r="CS805" s="262"/>
      <c r="CT805" s="262"/>
      <c r="CU805" s="262"/>
      <c r="CV805" s="262"/>
    </row>
    <row r="806" spans="33:100">
      <c r="AG806" s="262"/>
      <c r="AH806" s="262"/>
      <c r="AI806" s="262"/>
      <c r="AJ806" s="262"/>
      <c r="AK806" s="262"/>
      <c r="AL806" s="262"/>
      <c r="AM806" s="262"/>
      <c r="AN806" s="262"/>
      <c r="AO806" s="262"/>
      <c r="AP806" s="262"/>
      <c r="AQ806" s="262"/>
      <c r="AR806" s="262"/>
      <c r="AS806" s="262"/>
      <c r="AT806" s="262"/>
      <c r="AU806" s="262"/>
      <c r="AV806" s="262"/>
      <c r="AW806" s="262"/>
      <c r="AX806" s="262"/>
      <c r="AY806" s="262"/>
      <c r="AZ806" s="262"/>
      <c r="BA806" s="262"/>
      <c r="BB806" s="262"/>
      <c r="BC806" s="262"/>
      <c r="BD806" s="262"/>
      <c r="BE806" s="262"/>
      <c r="BF806" s="262"/>
      <c r="BG806" s="262"/>
      <c r="BH806" s="262"/>
      <c r="BI806" s="262"/>
      <c r="BJ806" s="262"/>
      <c r="BK806" s="262"/>
      <c r="BL806" s="262"/>
      <c r="BM806" s="262"/>
      <c r="BN806" s="262"/>
      <c r="BO806" s="262"/>
      <c r="BP806" s="262"/>
      <c r="BQ806" s="262"/>
      <c r="BR806" s="262"/>
      <c r="BS806" s="262"/>
      <c r="BT806" s="262"/>
      <c r="BU806" s="262"/>
      <c r="BV806" s="262"/>
      <c r="BW806" s="262"/>
      <c r="BX806" s="262"/>
      <c r="BY806" s="262"/>
      <c r="BZ806" s="262"/>
      <c r="CA806" s="262"/>
      <c r="CB806" s="262"/>
      <c r="CC806" s="262"/>
      <c r="CD806" s="262"/>
      <c r="CE806" s="262"/>
      <c r="CF806" s="262"/>
      <c r="CG806" s="262"/>
      <c r="CH806" s="262"/>
      <c r="CI806" s="262"/>
      <c r="CJ806" s="262"/>
      <c r="CK806" s="262"/>
      <c r="CL806" s="262"/>
      <c r="CM806" s="262"/>
      <c r="CN806" s="262"/>
      <c r="CO806" s="262"/>
      <c r="CP806" s="262"/>
      <c r="CQ806" s="262"/>
      <c r="CR806" s="262"/>
      <c r="CS806" s="262"/>
      <c r="CT806" s="262"/>
      <c r="CU806" s="262"/>
      <c r="CV806" s="262"/>
    </row>
    <row r="807" spans="33:100">
      <c r="AG807" s="262"/>
      <c r="AH807" s="262"/>
      <c r="AI807" s="262"/>
      <c r="AJ807" s="262"/>
      <c r="AK807" s="262"/>
      <c r="AL807" s="262"/>
      <c r="AM807" s="262"/>
      <c r="AN807" s="262"/>
      <c r="AO807" s="262"/>
      <c r="AP807" s="262"/>
      <c r="AQ807" s="262"/>
      <c r="AR807" s="262"/>
      <c r="AS807" s="262"/>
      <c r="AT807" s="262"/>
      <c r="AU807" s="262"/>
      <c r="AV807" s="262"/>
      <c r="AW807" s="262"/>
      <c r="AX807" s="262"/>
      <c r="AY807" s="262"/>
      <c r="AZ807" s="262"/>
      <c r="BA807" s="262"/>
      <c r="BB807" s="262"/>
      <c r="BC807" s="262"/>
      <c r="BD807" s="262"/>
      <c r="BE807" s="262"/>
      <c r="BF807" s="262"/>
      <c r="BG807" s="262"/>
      <c r="BH807" s="262"/>
      <c r="BI807" s="262"/>
      <c r="BJ807" s="262"/>
      <c r="BK807" s="262"/>
      <c r="BL807" s="262"/>
      <c r="BM807" s="262"/>
      <c r="BN807" s="262"/>
      <c r="BO807" s="262"/>
      <c r="BP807" s="262"/>
      <c r="BQ807" s="262"/>
      <c r="BR807" s="262"/>
      <c r="BS807" s="262"/>
      <c r="BT807" s="262"/>
      <c r="BU807" s="262"/>
      <c r="BV807" s="262"/>
      <c r="BW807" s="262"/>
      <c r="BX807" s="262"/>
      <c r="BY807" s="262"/>
      <c r="BZ807" s="262"/>
      <c r="CA807" s="262"/>
      <c r="CB807" s="262"/>
      <c r="CC807" s="262"/>
      <c r="CD807" s="262"/>
      <c r="CE807" s="262"/>
      <c r="CF807" s="262"/>
      <c r="CG807" s="262"/>
      <c r="CH807" s="262"/>
      <c r="CI807" s="262"/>
      <c r="CJ807" s="262"/>
      <c r="CK807" s="262"/>
      <c r="CL807" s="262"/>
      <c r="CM807" s="262"/>
      <c r="CN807" s="262"/>
      <c r="CO807" s="262"/>
      <c r="CP807" s="262"/>
      <c r="CQ807" s="262"/>
      <c r="CR807" s="262"/>
      <c r="CS807" s="262"/>
      <c r="CT807" s="262"/>
      <c r="CU807" s="262"/>
      <c r="CV807" s="262"/>
    </row>
    <row r="808" spans="33:100">
      <c r="AG808" s="262"/>
      <c r="AH808" s="262"/>
      <c r="AI808" s="262"/>
      <c r="AJ808" s="262"/>
      <c r="AK808" s="262"/>
      <c r="AL808" s="262"/>
      <c r="AM808" s="262"/>
      <c r="AN808" s="262"/>
      <c r="AO808" s="262"/>
      <c r="AP808" s="262"/>
      <c r="AQ808" s="262"/>
      <c r="AR808" s="262"/>
      <c r="AS808" s="262"/>
      <c r="AT808" s="262"/>
      <c r="AU808" s="262"/>
      <c r="AV808" s="262"/>
      <c r="AW808" s="262"/>
      <c r="AX808" s="262"/>
      <c r="AY808" s="262"/>
      <c r="AZ808" s="262"/>
      <c r="BA808" s="262"/>
      <c r="BB808" s="262"/>
      <c r="BC808" s="262"/>
      <c r="BD808" s="262"/>
      <c r="BE808" s="262"/>
      <c r="BF808" s="262"/>
      <c r="BG808" s="262"/>
      <c r="BH808" s="262"/>
      <c r="BI808" s="262"/>
      <c r="BJ808" s="262"/>
      <c r="BK808" s="262"/>
      <c r="BL808" s="262"/>
      <c r="BM808" s="262"/>
      <c r="BN808" s="262"/>
      <c r="BO808" s="262"/>
      <c r="BP808" s="262"/>
      <c r="BQ808" s="262"/>
      <c r="BR808" s="262"/>
      <c r="BS808" s="262"/>
      <c r="BT808" s="262"/>
      <c r="BU808" s="262"/>
      <c r="BV808" s="262"/>
      <c r="BW808" s="262"/>
      <c r="BX808" s="262"/>
      <c r="BY808" s="262"/>
      <c r="BZ808" s="262"/>
      <c r="CA808" s="262"/>
      <c r="CB808" s="262"/>
      <c r="CC808" s="262"/>
      <c r="CD808" s="262"/>
      <c r="CE808" s="262"/>
      <c r="CF808" s="262"/>
      <c r="CG808" s="262"/>
      <c r="CH808" s="262"/>
      <c r="CI808" s="262"/>
      <c r="CJ808" s="262"/>
      <c r="CK808" s="262"/>
      <c r="CL808" s="262"/>
      <c r="CM808" s="262"/>
      <c r="CN808" s="262"/>
      <c r="CO808" s="262"/>
      <c r="CP808" s="262"/>
      <c r="CQ808" s="262"/>
      <c r="CR808" s="262"/>
      <c r="CS808" s="262"/>
      <c r="CT808" s="262"/>
      <c r="CU808" s="262"/>
      <c r="CV808" s="262"/>
    </row>
    <row r="809" spans="33:100">
      <c r="AG809" s="262"/>
      <c r="AH809" s="262"/>
      <c r="AI809" s="262"/>
      <c r="AJ809" s="262"/>
      <c r="AK809" s="262"/>
      <c r="AL809" s="262"/>
      <c r="AM809" s="262"/>
      <c r="AN809" s="262"/>
      <c r="AO809" s="262"/>
      <c r="AP809" s="262"/>
      <c r="AQ809" s="262"/>
      <c r="AR809" s="262"/>
      <c r="AS809" s="262"/>
      <c r="AT809" s="262"/>
      <c r="AU809" s="262"/>
      <c r="AV809" s="262"/>
      <c r="AW809" s="262"/>
      <c r="AX809" s="262"/>
      <c r="AY809" s="262"/>
      <c r="AZ809" s="262"/>
      <c r="BA809" s="262"/>
      <c r="BB809" s="262"/>
      <c r="BC809" s="262"/>
      <c r="BD809" s="262"/>
      <c r="BE809" s="262"/>
      <c r="BF809" s="262"/>
      <c r="BG809" s="262"/>
      <c r="BH809" s="262"/>
      <c r="BI809" s="262"/>
      <c r="BJ809" s="262"/>
      <c r="BK809" s="262"/>
      <c r="BL809" s="262"/>
      <c r="BM809" s="262"/>
      <c r="BN809" s="262"/>
      <c r="BO809" s="262"/>
      <c r="BP809" s="262"/>
      <c r="BQ809" s="262"/>
      <c r="BR809" s="262"/>
      <c r="BS809" s="262"/>
      <c r="BT809" s="262"/>
      <c r="BU809" s="262"/>
      <c r="BV809" s="262"/>
      <c r="BW809" s="262"/>
      <c r="BX809" s="262"/>
      <c r="BY809" s="262"/>
      <c r="BZ809" s="262"/>
      <c r="CA809" s="262"/>
      <c r="CB809" s="262"/>
      <c r="CC809" s="262"/>
      <c r="CD809" s="262"/>
      <c r="CE809" s="262"/>
      <c r="CF809" s="262"/>
      <c r="CG809" s="262"/>
      <c r="CH809" s="262"/>
      <c r="CI809" s="262"/>
      <c r="CJ809" s="262"/>
      <c r="CK809" s="262"/>
      <c r="CL809" s="262"/>
      <c r="CM809" s="262"/>
      <c r="CN809" s="262"/>
      <c r="CO809" s="262"/>
      <c r="CP809" s="262"/>
      <c r="CQ809" s="262"/>
      <c r="CR809" s="262"/>
      <c r="CS809" s="262"/>
      <c r="CT809" s="262"/>
      <c r="CU809" s="262"/>
      <c r="CV809" s="262"/>
    </row>
    <row r="810" spans="33:100">
      <c r="AG810" s="262"/>
      <c r="AH810" s="262"/>
      <c r="AI810" s="262"/>
      <c r="AJ810" s="262"/>
      <c r="AK810" s="262"/>
      <c r="AL810" s="262"/>
      <c r="AM810" s="262"/>
      <c r="AN810" s="262"/>
      <c r="AO810" s="262"/>
      <c r="AP810" s="262"/>
      <c r="AQ810" s="262"/>
      <c r="AR810" s="262"/>
      <c r="AS810" s="262"/>
      <c r="AT810" s="262"/>
      <c r="AU810" s="262"/>
      <c r="AV810" s="262"/>
      <c r="AW810" s="262"/>
      <c r="AX810" s="262"/>
      <c r="AY810" s="262"/>
      <c r="AZ810" s="262"/>
      <c r="BA810" s="262"/>
      <c r="BB810" s="262"/>
      <c r="BC810" s="262"/>
      <c r="BD810" s="262"/>
      <c r="BE810" s="262"/>
      <c r="BF810" s="262"/>
      <c r="BG810" s="262"/>
      <c r="BH810" s="262"/>
      <c r="BI810" s="262"/>
      <c r="BJ810" s="262"/>
      <c r="BK810" s="262"/>
      <c r="BL810" s="262"/>
      <c r="BM810" s="262"/>
      <c r="BN810" s="262"/>
      <c r="BO810" s="262"/>
      <c r="BP810" s="262"/>
      <c r="BQ810" s="262"/>
      <c r="BR810" s="262"/>
      <c r="BS810" s="262"/>
      <c r="BT810" s="262"/>
      <c r="BU810" s="262"/>
      <c r="BV810" s="262"/>
      <c r="BW810" s="262"/>
      <c r="BX810" s="262"/>
      <c r="BY810" s="262"/>
      <c r="BZ810" s="262"/>
      <c r="CA810" s="262"/>
      <c r="CB810" s="262"/>
      <c r="CC810" s="262"/>
      <c r="CD810" s="262"/>
      <c r="CE810" s="262"/>
      <c r="CF810" s="262"/>
      <c r="CG810" s="262"/>
      <c r="CH810" s="262"/>
      <c r="CI810" s="262"/>
      <c r="CJ810" s="262"/>
      <c r="CK810" s="262"/>
      <c r="CL810" s="262"/>
      <c r="CM810" s="262"/>
      <c r="CN810" s="262"/>
      <c r="CO810" s="262"/>
      <c r="CP810" s="262"/>
      <c r="CQ810" s="262"/>
      <c r="CR810" s="262"/>
      <c r="CS810" s="262"/>
      <c r="CT810" s="262"/>
      <c r="CU810" s="262"/>
      <c r="CV810" s="262"/>
    </row>
    <row r="811" spans="33:100">
      <c r="AG811" s="262"/>
      <c r="AH811" s="262"/>
      <c r="AI811" s="262"/>
      <c r="AJ811" s="262"/>
      <c r="AK811" s="262"/>
      <c r="AL811" s="262"/>
      <c r="AM811" s="262"/>
      <c r="AN811" s="262"/>
      <c r="AO811" s="262"/>
      <c r="AP811" s="262"/>
      <c r="AQ811" s="262"/>
      <c r="AR811" s="262"/>
      <c r="AS811" s="262"/>
      <c r="AT811" s="262"/>
      <c r="AU811" s="262"/>
      <c r="AV811" s="262"/>
      <c r="AW811" s="262"/>
      <c r="AX811" s="262"/>
      <c r="AY811" s="262"/>
      <c r="AZ811" s="262"/>
      <c r="BA811" s="262"/>
      <c r="BB811" s="262"/>
      <c r="BC811" s="262"/>
      <c r="BD811" s="262"/>
      <c r="BE811" s="262"/>
      <c r="BF811" s="262"/>
      <c r="BG811" s="262"/>
      <c r="BH811" s="262"/>
      <c r="BI811" s="262"/>
      <c r="BJ811" s="262"/>
      <c r="BK811" s="262"/>
      <c r="BL811" s="262"/>
      <c r="BM811" s="262"/>
      <c r="BN811" s="262"/>
      <c r="BO811" s="262"/>
      <c r="BP811" s="262"/>
      <c r="BQ811" s="262"/>
      <c r="BR811" s="262"/>
      <c r="BS811" s="262"/>
      <c r="BT811" s="262"/>
      <c r="BU811" s="262"/>
      <c r="BV811" s="262"/>
      <c r="BW811" s="262"/>
      <c r="BX811" s="262"/>
      <c r="BY811" s="262"/>
      <c r="BZ811" s="262"/>
      <c r="CA811" s="262"/>
      <c r="CB811" s="262"/>
      <c r="CC811" s="262"/>
      <c r="CD811" s="262"/>
      <c r="CE811" s="262"/>
      <c r="CF811" s="262"/>
      <c r="CG811" s="262"/>
      <c r="CH811" s="262"/>
      <c r="CI811" s="262"/>
      <c r="CJ811" s="262"/>
      <c r="CK811" s="262"/>
      <c r="CL811" s="262"/>
      <c r="CM811" s="262"/>
      <c r="CN811" s="262"/>
      <c r="CO811" s="262"/>
      <c r="CP811" s="262"/>
      <c r="CQ811" s="262"/>
      <c r="CR811" s="262"/>
      <c r="CS811" s="262"/>
      <c r="CT811" s="262"/>
      <c r="CU811" s="262"/>
      <c r="CV811" s="262"/>
    </row>
    <row r="812" spans="33:100">
      <c r="AG812" s="262"/>
      <c r="AH812" s="262"/>
      <c r="AI812" s="262"/>
      <c r="AJ812" s="262"/>
      <c r="AK812" s="262"/>
      <c r="AL812" s="262"/>
      <c r="AM812" s="262"/>
      <c r="AN812" s="262"/>
      <c r="AO812" s="262"/>
      <c r="AP812" s="262"/>
      <c r="AQ812" s="262"/>
      <c r="AR812" s="262"/>
      <c r="AS812" s="262"/>
      <c r="AT812" s="262"/>
      <c r="AU812" s="262"/>
      <c r="AV812" s="262"/>
      <c r="AW812" s="262"/>
      <c r="AX812" s="262"/>
      <c r="AY812" s="262"/>
      <c r="AZ812" s="262"/>
      <c r="BA812" s="262"/>
      <c r="BB812" s="262"/>
      <c r="BC812" s="262"/>
      <c r="BD812" s="262"/>
      <c r="BE812" s="262"/>
      <c r="BF812" s="262"/>
      <c r="BG812" s="262"/>
      <c r="BH812" s="262"/>
      <c r="BI812" s="262"/>
      <c r="BJ812" s="262"/>
      <c r="BK812" s="262"/>
      <c r="BL812" s="262"/>
      <c r="BM812" s="262"/>
      <c r="BN812" s="262"/>
      <c r="BO812" s="262"/>
      <c r="BP812" s="262"/>
      <c r="BQ812" s="262"/>
      <c r="BR812" s="262"/>
      <c r="BS812" s="262"/>
      <c r="BT812" s="262"/>
      <c r="BU812" s="262"/>
      <c r="BV812" s="262"/>
      <c r="BW812" s="262"/>
      <c r="BX812" s="262"/>
      <c r="BY812" s="262"/>
      <c r="BZ812" s="262"/>
      <c r="CA812" s="262"/>
      <c r="CB812" s="262"/>
      <c r="CC812" s="262"/>
      <c r="CD812" s="262"/>
      <c r="CE812" s="262"/>
      <c r="CF812" s="262"/>
      <c r="CG812" s="262"/>
      <c r="CH812" s="262"/>
      <c r="CI812" s="262"/>
      <c r="CJ812" s="262"/>
      <c r="CK812" s="262"/>
      <c r="CL812" s="262"/>
      <c r="CM812" s="262"/>
      <c r="CN812" s="262"/>
      <c r="CO812" s="262"/>
      <c r="CP812" s="262"/>
      <c r="CQ812" s="262"/>
      <c r="CR812" s="262"/>
      <c r="CS812" s="262"/>
      <c r="CT812" s="262"/>
      <c r="CU812" s="262"/>
      <c r="CV812" s="262"/>
    </row>
    <row r="813" spans="33:100">
      <c r="AG813" s="262"/>
      <c r="AH813" s="262"/>
      <c r="AI813" s="262"/>
      <c r="AJ813" s="262"/>
      <c r="AK813" s="262"/>
      <c r="AL813" s="262"/>
      <c r="AM813" s="262"/>
      <c r="AN813" s="262"/>
      <c r="AO813" s="262"/>
      <c r="AP813" s="262"/>
      <c r="AQ813" s="262"/>
      <c r="AR813" s="262"/>
      <c r="AS813" s="262"/>
      <c r="AT813" s="262"/>
      <c r="AU813" s="262"/>
      <c r="AV813" s="262"/>
      <c r="AW813" s="262"/>
      <c r="AX813" s="262"/>
      <c r="AY813" s="262"/>
      <c r="AZ813" s="262"/>
      <c r="BA813" s="262"/>
      <c r="BB813" s="262"/>
      <c r="BC813" s="262"/>
      <c r="BD813" s="262"/>
      <c r="BE813" s="262"/>
      <c r="BF813" s="262"/>
      <c r="BG813" s="262"/>
      <c r="BH813" s="262"/>
      <c r="BI813" s="262"/>
      <c r="BJ813" s="262"/>
      <c r="BK813" s="262"/>
      <c r="BL813" s="262"/>
      <c r="BM813" s="262"/>
      <c r="BN813" s="262"/>
      <c r="BO813" s="262"/>
      <c r="BP813" s="262"/>
      <c r="BQ813" s="262"/>
      <c r="BR813" s="262"/>
      <c r="BS813" s="262"/>
      <c r="BT813" s="262"/>
      <c r="BU813" s="262"/>
      <c r="BV813" s="262"/>
      <c r="BW813" s="262"/>
      <c r="BX813" s="262"/>
      <c r="BY813" s="262"/>
      <c r="BZ813" s="262"/>
      <c r="CA813" s="262"/>
      <c r="CB813" s="262"/>
      <c r="CC813" s="262"/>
      <c r="CD813" s="262"/>
      <c r="CE813" s="262"/>
      <c r="CF813" s="262"/>
      <c r="CG813" s="262"/>
      <c r="CH813" s="262"/>
      <c r="CI813" s="262"/>
      <c r="CJ813" s="262"/>
      <c r="CK813" s="262"/>
      <c r="CL813" s="262"/>
      <c r="CM813" s="262"/>
      <c r="CN813" s="262"/>
      <c r="CO813" s="262"/>
      <c r="CP813" s="262"/>
      <c r="CQ813" s="262"/>
      <c r="CR813" s="262"/>
      <c r="CS813" s="262"/>
      <c r="CT813" s="262"/>
      <c r="CU813" s="262"/>
      <c r="CV813" s="262"/>
    </row>
    <row r="814" spans="33:100">
      <c r="AG814" s="262"/>
      <c r="AH814" s="262"/>
      <c r="AI814" s="262"/>
      <c r="AJ814" s="262"/>
      <c r="AK814" s="262"/>
      <c r="AL814" s="262"/>
      <c r="AM814" s="262"/>
      <c r="AN814" s="262"/>
      <c r="AO814" s="262"/>
      <c r="AP814" s="262"/>
      <c r="AQ814" s="262"/>
      <c r="AR814" s="262"/>
      <c r="AS814" s="262"/>
      <c r="AT814" s="262"/>
      <c r="AU814" s="262"/>
      <c r="AV814" s="262"/>
      <c r="AW814" s="262"/>
      <c r="AX814" s="262"/>
      <c r="AY814" s="262"/>
      <c r="AZ814" s="262"/>
      <c r="BA814" s="262"/>
      <c r="BB814" s="262"/>
      <c r="BC814" s="262"/>
      <c r="BD814" s="262"/>
      <c r="BE814" s="262"/>
      <c r="BF814" s="262"/>
      <c r="BG814" s="262"/>
      <c r="BH814" s="262"/>
      <c r="BI814" s="262"/>
      <c r="BJ814" s="262"/>
      <c r="BK814" s="262"/>
      <c r="BL814" s="262"/>
      <c r="BM814" s="262"/>
      <c r="BN814" s="262"/>
      <c r="BO814" s="262"/>
      <c r="BP814" s="262"/>
      <c r="BQ814" s="262"/>
      <c r="BR814" s="262"/>
      <c r="BS814" s="262"/>
      <c r="BT814" s="262"/>
      <c r="BU814" s="262"/>
      <c r="BV814" s="262"/>
      <c r="BW814" s="262"/>
      <c r="BX814" s="262"/>
      <c r="BY814" s="262"/>
      <c r="BZ814" s="262"/>
      <c r="CA814" s="262"/>
      <c r="CB814" s="262"/>
      <c r="CC814" s="262"/>
      <c r="CD814" s="262"/>
      <c r="CE814" s="262"/>
      <c r="CF814" s="262"/>
      <c r="CG814" s="262"/>
      <c r="CH814" s="262"/>
      <c r="CI814" s="262"/>
      <c r="CJ814" s="262"/>
      <c r="CK814" s="262"/>
      <c r="CL814" s="262"/>
      <c r="CM814" s="262"/>
      <c r="CN814" s="262"/>
      <c r="CO814" s="262"/>
      <c r="CP814" s="262"/>
      <c r="CQ814" s="262"/>
      <c r="CR814" s="262"/>
      <c r="CS814" s="262"/>
      <c r="CT814" s="262"/>
      <c r="CU814" s="262"/>
      <c r="CV814" s="262"/>
    </row>
    <row r="815" spans="33:100">
      <c r="AG815" s="262"/>
      <c r="AH815" s="262"/>
      <c r="AI815" s="262"/>
      <c r="AJ815" s="262"/>
      <c r="AK815" s="262"/>
      <c r="AL815" s="262"/>
      <c r="AM815" s="262"/>
      <c r="AN815" s="262"/>
      <c r="AO815" s="262"/>
      <c r="AP815" s="262"/>
      <c r="AQ815" s="262"/>
      <c r="AR815" s="262"/>
      <c r="AS815" s="262"/>
      <c r="AT815" s="262"/>
      <c r="AU815" s="262"/>
      <c r="AV815" s="262"/>
      <c r="AW815" s="262"/>
      <c r="AX815" s="262"/>
      <c r="AY815" s="262"/>
      <c r="AZ815" s="262"/>
      <c r="BA815" s="262"/>
      <c r="BB815" s="262"/>
      <c r="BC815" s="262"/>
      <c r="BD815" s="262"/>
      <c r="BE815" s="262"/>
      <c r="BF815" s="262"/>
      <c r="BG815" s="262"/>
      <c r="BH815" s="262"/>
      <c r="BI815" s="262"/>
      <c r="BJ815" s="262"/>
      <c r="BK815" s="262"/>
      <c r="BL815" s="262"/>
      <c r="BM815" s="262"/>
      <c r="BN815" s="262"/>
      <c r="BO815" s="262"/>
      <c r="BP815" s="262"/>
      <c r="BQ815" s="262"/>
      <c r="BR815" s="262"/>
      <c r="BS815" s="262"/>
      <c r="BT815" s="262"/>
      <c r="BU815" s="262"/>
      <c r="BV815" s="262"/>
      <c r="BW815" s="262"/>
      <c r="BX815" s="262"/>
      <c r="BY815" s="262"/>
      <c r="BZ815" s="262"/>
      <c r="CA815" s="262"/>
      <c r="CB815" s="262"/>
      <c r="CC815" s="262"/>
      <c r="CD815" s="262"/>
      <c r="CE815" s="262"/>
      <c r="CF815" s="262"/>
      <c r="CG815" s="262"/>
      <c r="CH815" s="262"/>
      <c r="CI815" s="262"/>
      <c r="CJ815" s="262"/>
      <c r="CK815" s="262"/>
      <c r="CL815" s="262"/>
      <c r="CM815" s="262"/>
      <c r="CN815" s="262"/>
      <c r="CO815" s="262"/>
      <c r="CP815" s="262"/>
      <c r="CQ815" s="262"/>
      <c r="CR815" s="262"/>
      <c r="CS815" s="262"/>
      <c r="CT815" s="262"/>
      <c r="CU815" s="262"/>
      <c r="CV815" s="262"/>
    </row>
    <row r="816" spans="33:100">
      <c r="AG816" s="262"/>
      <c r="AH816" s="262"/>
      <c r="AI816" s="262"/>
      <c r="AJ816" s="262"/>
      <c r="AK816" s="262"/>
      <c r="AL816" s="262"/>
      <c r="AM816" s="262"/>
      <c r="AN816" s="262"/>
      <c r="AO816" s="262"/>
      <c r="AP816" s="262"/>
      <c r="AQ816" s="262"/>
      <c r="AR816" s="262"/>
      <c r="AS816" s="262"/>
      <c r="AT816" s="262"/>
      <c r="AU816" s="262"/>
      <c r="AV816" s="262"/>
      <c r="AW816" s="262"/>
      <c r="AX816" s="262"/>
      <c r="AY816" s="262"/>
      <c r="AZ816" s="262"/>
      <c r="BA816" s="262"/>
      <c r="BB816" s="262"/>
      <c r="BC816" s="262"/>
      <c r="BD816" s="262"/>
      <c r="BE816" s="262"/>
      <c r="BF816" s="262"/>
      <c r="BG816" s="262"/>
      <c r="BH816" s="262"/>
      <c r="BI816" s="262"/>
      <c r="BJ816" s="262"/>
      <c r="BK816" s="262"/>
      <c r="BL816" s="262"/>
      <c r="BM816" s="262"/>
      <c r="BN816" s="262"/>
      <c r="BO816" s="262"/>
      <c r="BP816" s="262"/>
      <c r="BQ816" s="262"/>
      <c r="BR816" s="262"/>
      <c r="BS816" s="262"/>
      <c r="BT816" s="262"/>
      <c r="BU816" s="262"/>
      <c r="BV816" s="262"/>
      <c r="BW816" s="262"/>
      <c r="BX816" s="262"/>
      <c r="BY816" s="262"/>
      <c r="BZ816" s="262"/>
      <c r="CA816" s="262"/>
      <c r="CB816" s="262"/>
      <c r="CC816" s="262"/>
      <c r="CD816" s="262"/>
      <c r="CE816" s="262"/>
      <c r="CF816" s="262"/>
      <c r="CG816" s="262"/>
      <c r="CH816" s="262"/>
      <c r="CI816" s="262"/>
      <c r="CJ816" s="262"/>
      <c r="CK816" s="262"/>
      <c r="CL816" s="262"/>
      <c r="CM816" s="262"/>
      <c r="CN816" s="262"/>
      <c r="CO816" s="262"/>
      <c r="CP816" s="262"/>
      <c r="CQ816" s="262"/>
      <c r="CR816" s="262"/>
      <c r="CS816" s="262"/>
      <c r="CT816" s="262"/>
      <c r="CU816" s="262"/>
      <c r="CV816" s="262"/>
    </row>
  </sheetData>
  <sheetProtection selectLockedCells="1"/>
  <mergeCells count="54">
    <mergeCell ref="C17:D17"/>
    <mergeCell ref="C41:D41"/>
    <mergeCell ref="C52:D52"/>
    <mergeCell ref="B20:D20"/>
    <mergeCell ref="C34:D34"/>
    <mergeCell ref="C49:D49"/>
    <mergeCell ref="C18:D18"/>
    <mergeCell ref="B21:C21"/>
    <mergeCell ref="B22:C22"/>
    <mergeCell ref="B23:C23"/>
    <mergeCell ref="B24:C24"/>
    <mergeCell ref="B25:C25"/>
    <mergeCell ref="C56:D56"/>
    <mergeCell ref="C63:D63"/>
    <mergeCell ref="B3:E3"/>
    <mergeCell ref="B4:E4"/>
    <mergeCell ref="C11:G11"/>
    <mergeCell ref="C6:G6"/>
    <mergeCell ref="C7:G7"/>
    <mergeCell ref="C8:G8"/>
    <mergeCell ref="C9:G9"/>
    <mergeCell ref="C10:G10"/>
    <mergeCell ref="E52:F52"/>
    <mergeCell ref="C42:D42"/>
    <mergeCell ref="C43:D43"/>
    <mergeCell ref="C47:D47"/>
    <mergeCell ref="C15:D15"/>
    <mergeCell ref="C16:D16"/>
    <mergeCell ref="C64:D64"/>
    <mergeCell ref="C65:D65"/>
    <mergeCell ref="C66:D66"/>
    <mergeCell ref="C57:D57"/>
    <mergeCell ref="C58:D58"/>
    <mergeCell ref="C59:D59"/>
    <mergeCell ref="C60:D60"/>
    <mergeCell ref="C61:D61"/>
    <mergeCell ref="C62:D62"/>
    <mergeCell ref="E66:G66"/>
    <mergeCell ref="E58:G58"/>
    <mergeCell ref="E59:G59"/>
    <mergeCell ref="E60:G60"/>
    <mergeCell ref="E61:G61"/>
    <mergeCell ref="E62:G62"/>
    <mergeCell ref="E56:G56"/>
    <mergeCell ref="E57:G57"/>
    <mergeCell ref="E63:G63"/>
    <mergeCell ref="E64:G64"/>
    <mergeCell ref="E65:G65"/>
    <mergeCell ref="E53:G53"/>
    <mergeCell ref="E54:G54"/>
    <mergeCell ref="C53:D53"/>
    <mergeCell ref="C54:D54"/>
    <mergeCell ref="E55:G55"/>
    <mergeCell ref="C55:D55"/>
  </mergeCells>
  <conditionalFormatting sqref="B28:D28">
    <cfRule type="expression" dxfId="124" priority="17">
      <formula>OR($E$16=0,$E$16=FALSE)</formula>
    </cfRule>
  </conditionalFormatting>
  <conditionalFormatting sqref="B29:D29">
    <cfRule type="expression" dxfId="123" priority="16">
      <formula>OR($E$15=0,$E$15=FALSE)</formula>
    </cfRule>
  </conditionalFormatting>
  <conditionalFormatting sqref="B30:D31">
    <cfRule type="expression" dxfId="122" priority="15">
      <formula>OR($E$17=0,$E$17=FALSE)</formula>
    </cfRule>
  </conditionalFormatting>
  <conditionalFormatting sqref="C28:D31">
    <cfRule type="containsText" dxfId="121" priority="13" operator="containsText" text="celý">
      <formula>NOT(ISERROR(SEARCH("celý",C28)))</formula>
    </cfRule>
    <cfRule type="containsText" dxfId="120" priority="14" operator="containsText" text="doplňte">
      <formula>NOT(ISERROR(SEARCH("doplňte",C28)))</formula>
    </cfRule>
  </conditionalFormatting>
  <conditionalFormatting sqref="C49">
    <cfRule type="expression" dxfId="119" priority="10">
      <formula>$C$49="Projekt je způsobilý k realizaci v programu Úspory energie"</formula>
    </cfRule>
  </conditionalFormatting>
  <conditionalFormatting sqref="E28:G29 B29:D31">
    <cfRule type="expression" dxfId="118" priority="8">
      <formula>$H$27=FALSE</formula>
    </cfRule>
  </conditionalFormatting>
  <conditionalFormatting sqref="E29:G29 B30:D31">
    <cfRule type="expression" dxfId="117" priority="7">
      <formula>$H$28=FALSE</formula>
    </cfRule>
  </conditionalFormatting>
  <conditionalFormatting sqref="D44">
    <cfRule type="cellIs" dxfId="116" priority="6" operator="greaterThan">
      <formula>10</formula>
    </cfRule>
  </conditionalFormatting>
  <conditionalFormatting sqref="D45">
    <cfRule type="cellIs" dxfId="115" priority="5" operator="greaterThan">
      <formula>10</formula>
    </cfRule>
  </conditionalFormatting>
  <conditionalFormatting sqref="D46">
    <cfRule type="cellIs" dxfId="114" priority="4" operator="greaterThan">
      <formula>10</formula>
    </cfRule>
  </conditionalFormatting>
  <conditionalFormatting sqref="D36">
    <cfRule type="expression" dxfId="113" priority="3">
      <formula>$D$36&lt;5</formula>
    </cfRule>
  </conditionalFormatting>
  <conditionalFormatting sqref="D37">
    <cfRule type="expression" dxfId="112" priority="2">
      <formula>$D$37&lt;5</formula>
    </cfRule>
  </conditionalFormatting>
  <conditionalFormatting sqref="D38:D40">
    <cfRule type="expression" dxfId="111" priority="1">
      <formula>$D$38&lt;5</formula>
    </cfRule>
  </conditionalFormatting>
  <dataValidations count="2">
    <dataValidation type="textLength" allowBlank="1" showInputMessage="1" showErrorMessage="1" prompt="Stručný popis projektu do 1000 znaků" sqref="C11:G11">
      <formula1>0</formula1>
      <formula2>1000</formula2>
    </dataValidation>
    <dataValidation type="custom" allowBlank="1" showInputMessage="1" showErrorMessage="1" sqref="B28:B29">
      <formula1>"&lt;0&gt;0"</formula1>
    </dataValidation>
  </dataValidations>
  <hyperlinks>
    <hyperlink ref="B29" location="Kotel!E4" display="Kotel"/>
    <hyperlink ref="B30" location="Osvětlení!E4" display="Osvětlení"/>
    <hyperlink ref="B28" location="Zateplení!F4" display="Zateplení"/>
  </hyperlinks>
  <pageMargins left="0.70866141732283472" right="0.70866141732283472" top="0.74803149606299213" bottom="0.74803149606299213" header="0.31496062992125984" footer="0.31496062992125984"/>
  <pageSetup paperSize="9" scale="62" fitToHeight="10"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macro="[0]!odkryt_kotel">
                <anchor moveWithCells="1">
                  <from>
                    <xdr:col>1</xdr:col>
                    <xdr:colOff>19050</xdr:colOff>
                    <xdr:row>14</xdr:row>
                    <xdr:rowOff>19050</xdr:rowOff>
                  </from>
                  <to>
                    <xdr:col>1</xdr:col>
                    <xdr:colOff>1285875</xdr:colOff>
                    <xdr:row>14</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macro="[0]!odkryt_zatepleni">
                <anchor moveWithCells="1">
                  <from>
                    <xdr:col>1</xdr:col>
                    <xdr:colOff>19050</xdr:colOff>
                    <xdr:row>15</xdr:row>
                    <xdr:rowOff>19050</xdr:rowOff>
                  </from>
                  <to>
                    <xdr:col>1</xdr:col>
                    <xdr:colOff>1285875</xdr:colOff>
                    <xdr:row>15</xdr:row>
                    <xdr:rowOff>200025</xdr:rowOff>
                  </to>
                </anchor>
              </controlPr>
            </control>
          </mc:Choice>
        </mc:AlternateContent>
        <mc:AlternateContent xmlns:mc="http://schemas.openxmlformats.org/markup-compatibility/2006">
          <mc:Choice Requires="x14">
            <control shapeId="4099" r:id="rId6" name="Check Box 3">
              <controlPr defaultSize="0" autoFill="0" autoLine="0" autoPict="0" macro="[0]!odkryt_osvetleni">
                <anchor moveWithCells="1">
                  <from>
                    <xdr:col>1</xdr:col>
                    <xdr:colOff>19050</xdr:colOff>
                    <xdr:row>16</xdr:row>
                    <xdr:rowOff>19050</xdr:rowOff>
                  </from>
                  <to>
                    <xdr:col>1</xdr:col>
                    <xdr:colOff>1285875</xdr:colOff>
                    <xdr:row>16</xdr:row>
                    <xdr:rowOff>200025</xdr:rowOff>
                  </to>
                </anchor>
              </controlPr>
            </control>
          </mc:Choice>
        </mc:AlternateContent>
        <mc:AlternateContent xmlns:mc="http://schemas.openxmlformats.org/markup-compatibility/2006">
          <mc:Choice Requires="x14">
            <control shapeId="4100" r:id="rId7" name="Button 4">
              <controlPr defaultSize="0" print="0" autoFill="0" autoPict="0" macro="[0]!reset_h">
                <anchor moveWithCells="1">
                  <from>
                    <xdr:col>5</xdr:col>
                    <xdr:colOff>57150</xdr:colOff>
                    <xdr:row>66</xdr:row>
                    <xdr:rowOff>152400</xdr:rowOff>
                  </from>
                  <to>
                    <xdr:col>6</xdr:col>
                    <xdr:colOff>1104900</xdr:colOff>
                    <xdr:row>70</xdr:row>
                    <xdr:rowOff>123825</xdr:rowOff>
                  </to>
                </anchor>
              </controlPr>
            </control>
          </mc:Choice>
        </mc:AlternateContent>
        <mc:AlternateContent xmlns:mc="http://schemas.openxmlformats.org/markup-compatibility/2006">
          <mc:Choice Requires="x14">
            <control shapeId="4101" r:id="rId8" name="Button 5">
              <controlPr defaultSize="0" print="0" autoFill="0" autoPict="0" macro="[0]!FormulářProTisk">
                <anchor moveWithCells="1">
                  <from>
                    <xdr:col>1</xdr:col>
                    <xdr:colOff>9525</xdr:colOff>
                    <xdr:row>67</xdr:row>
                    <xdr:rowOff>0</xdr:rowOff>
                  </from>
                  <to>
                    <xdr:col>2</xdr:col>
                    <xdr:colOff>228600</xdr:colOff>
                    <xdr:row>70</xdr:row>
                    <xdr:rowOff>123825</xdr:rowOff>
                  </to>
                </anchor>
              </controlPr>
            </control>
          </mc:Choice>
        </mc:AlternateContent>
        <mc:AlternateContent xmlns:mc="http://schemas.openxmlformats.org/markup-compatibility/2006">
          <mc:Choice Requires="x14">
            <control shapeId="4104" r:id="rId9" name="Button 8">
              <controlPr defaultSize="0" print="0" autoFill="0" autoPict="0" macro="[0]!nápoveda" altText="Přejít na manuál">
                <anchor moveWithCells="1">
                  <from>
                    <xdr:col>5</xdr:col>
                    <xdr:colOff>771525</xdr:colOff>
                    <xdr:row>14</xdr:row>
                    <xdr:rowOff>47625</xdr:rowOff>
                  </from>
                  <to>
                    <xdr:col>6</xdr:col>
                    <xdr:colOff>1085850</xdr:colOff>
                    <xdr:row>15</xdr:row>
                    <xdr:rowOff>304800</xdr:rowOff>
                  </to>
                </anchor>
              </controlPr>
            </control>
          </mc:Choice>
        </mc:AlternateContent>
        <mc:AlternateContent xmlns:mc="http://schemas.openxmlformats.org/markup-compatibility/2006">
          <mc:Choice Requires="x14">
            <control shapeId="4105" r:id="rId10" name="Button 9">
              <controlPr defaultSize="0" print="0" autoFill="0" autoPict="0" macro="[0]!skryt" altText="Přejít na manuál">
                <anchor moveWithCells="1">
                  <from>
                    <xdr:col>5</xdr:col>
                    <xdr:colOff>752475</xdr:colOff>
                    <xdr:row>16</xdr:row>
                    <xdr:rowOff>19050</xdr:rowOff>
                  </from>
                  <to>
                    <xdr:col>6</xdr:col>
                    <xdr:colOff>1095375</xdr:colOff>
                    <xdr:row>17</xdr:row>
                    <xdr:rowOff>314325</xdr:rowOff>
                  </to>
                </anchor>
              </controlPr>
            </control>
          </mc:Choice>
        </mc:AlternateContent>
        <mc:AlternateContent xmlns:mc="http://schemas.openxmlformats.org/markup-compatibility/2006">
          <mc:Choice Requires="x14">
            <control shapeId="4112" r:id="rId11" name="Button 16">
              <controlPr defaultSize="0" print="0" autoFill="0" autoPict="0" macro="[0]!exportDat">
                <anchor moveWithCells="1">
                  <from>
                    <xdr:col>3</xdr:col>
                    <xdr:colOff>2152650</xdr:colOff>
                    <xdr:row>66</xdr:row>
                    <xdr:rowOff>171450</xdr:rowOff>
                  </from>
                  <to>
                    <xdr:col>4</xdr:col>
                    <xdr:colOff>1314450</xdr:colOff>
                    <xdr:row>70</xdr:row>
                    <xdr:rowOff>123825</xdr:rowOff>
                  </to>
                </anchor>
              </controlPr>
            </control>
          </mc:Choice>
        </mc:AlternateContent>
        <mc:AlternateContent xmlns:mc="http://schemas.openxmlformats.org/markup-compatibility/2006">
          <mc:Choice Requires="x14">
            <control shapeId="4114" r:id="rId12" name="Check Box 18">
              <controlPr defaultSize="0" autoFill="0" autoLine="0" autoPict="0" macro="[0]!UnlockAll">
                <anchor moveWithCells="1">
                  <from>
                    <xdr:col>1</xdr:col>
                    <xdr:colOff>9525</xdr:colOff>
                    <xdr:row>72</xdr:row>
                    <xdr:rowOff>161925</xdr:rowOff>
                  </from>
                  <to>
                    <xdr:col>1</xdr:col>
                    <xdr:colOff>914400</xdr:colOff>
                    <xdr:row>74</xdr:row>
                    <xdr:rowOff>0</xdr:rowOff>
                  </to>
                </anchor>
              </controlPr>
            </control>
          </mc:Choice>
        </mc:AlternateContent>
        <mc:AlternateContent xmlns:mc="http://schemas.openxmlformats.org/markup-compatibility/2006">
          <mc:Choice Requires="x14">
            <control shapeId="4115" r:id="rId13" name="Button 19">
              <controlPr defaultSize="0" print="0" autoFill="0" autoPict="0" macro="[0]!Button19_Click">
                <anchor moveWithCells="1" sizeWithCells="1">
                  <from>
                    <xdr:col>1</xdr:col>
                    <xdr:colOff>0</xdr:colOff>
                    <xdr:row>28</xdr:row>
                    <xdr:rowOff>9525</xdr:rowOff>
                  </from>
                  <to>
                    <xdr:col>1</xdr:col>
                    <xdr:colOff>2381250</xdr:colOff>
                    <xdr:row>28</xdr:row>
                    <xdr:rowOff>209550</xdr:rowOff>
                  </to>
                </anchor>
              </controlPr>
            </control>
          </mc:Choice>
        </mc:AlternateContent>
        <mc:AlternateContent xmlns:mc="http://schemas.openxmlformats.org/markup-compatibility/2006">
          <mc:Choice Requires="x14">
            <control shapeId="4116" r:id="rId14" name="Button 20">
              <controlPr defaultSize="0" print="0" autoFill="0" autoPict="0" macro="[0]!Button20_Click">
                <anchor moveWithCells="1" sizeWithCells="1">
                  <from>
                    <xdr:col>1</xdr:col>
                    <xdr:colOff>0</xdr:colOff>
                    <xdr:row>27</xdr:row>
                    <xdr:rowOff>9525</xdr:rowOff>
                  </from>
                  <to>
                    <xdr:col>1</xdr:col>
                    <xdr:colOff>2381250</xdr:colOff>
                    <xdr:row>28</xdr:row>
                    <xdr:rowOff>0</xdr:rowOff>
                  </to>
                </anchor>
              </controlPr>
            </control>
          </mc:Choice>
        </mc:AlternateContent>
        <mc:AlternateContent xmlns:mc="http://schemas.openxmlformats.org/markup-compatibility/2006">
          <mc:Choice Requires="x14">
            <control shapeId="4117" r:id="rId15" name="Button 21">
              <controlPr defaultSize="0" print="0" autoFill="0" autoPict="0" macro="[0]!Button21_Click">
                <anchor moveWithCells="1" sizeWithCells="1">
                  <from>
                    <xdr:col>1</xdr:col>
                    <xdr:colOff>0</xdr:colOff>
                    <xdr:row>29</xdr:row>
                    <xdr:rowOff>0</xdr:rowOff>
                  </from>
                  <to>
                    <xdr:col>1</xdr:col>
                    <xdr:colOff>2381250</xdr:colOff>
                    <xdr:row>29</xdr:row>
                    <xdr:rowOff>200025</xdr:rowOff>
                  </to>
                </anchor>
              </controlPr>
            </control>
          </mc:Choice>
        </mc:AlternateContent>
        <mc:AlternateContent xmlns:mc="http://schemas.openxmlformats.org/markup-compatibility/2006">
          <mc:Choice Requires="x14">
            <control shapeId="4119" r:id="rId16" name="Check Box 23">
              <controlPr defaultSize="0" autoFill="0" autoLine="0" autoPict="0" macro="[0]!odkryt_FVE">
                <anchor moveWithCells="1">
                  <from>
                    <xdr:col>1</xdr:col>
                    <xdr:colOff>28575</xdr:colOff>
                    <xdr:row>17</xdr:row>
                    <xdr:rowOff>28575</xdr:rowOff>
                  </from>
                  <to>
                    <xdr:col>1</xdr:col>
                    <xdr:colOff>1295400</xdr:colOff>
                    <xdr:row>17</xdr:row>
                    <xdr:rowOff>209550</xdr:rowOff>
                  </to>
                </anchor>
              </controlPr>
            </control>
          </mc:Choice>
        </mc:AlternateContent>
        <mc:AlternateContent xmlns:mc="http://schemas.openxmlformats.org/markup-compatibility/2006">
          <mc:Choice Requires="x14">
            <control shapeId="4120" r:id="rId17" name="Button 24">
              <controlPr defaultSize="0" print="0" autoFill="0" autoPict="0" macro="[0]!Button24_Click">
                <anchor moveWithCells="1" sizeWithCells="1">
                  <from>
                    <xdr:col>1</xdr:col>
                    <xdr:colOff>0</xdr:colOff>
                    <xdr:row>30</xdr:row>
                    <xdr:rowOff>0</xdr:rowOff>
                  </from>
                  <to>
                    <xdr:col>1</xdr:col>
                    <xdr:colOff>2371725</xdr:colOff>
                    <xdr:row>30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33"/>
  <sheetViews>
    <sheetView workbookViewId="0">
      <selection activeCell="E4" sqref="E4"/>
    </sheetView>
  </sheetViews>
  <sheetFormatPr defaultRowHeight="15"/>
  <cols>
    <col min="1" max="1" width="1.140625" style="245" customWidth="1"/>
    <col min="2" max="2" width="9.140625" style="562"/>
    <col min="3" max="3" width="73.85546875" style="245" bestFit="1" customWidth="1"/>
    <col min="4" max="4" width="16" style="245" bestFit="1" customWidth="1"/>
    <col min="5" max="5" width="10" style="245" bestFit="1" customWidth="1"/>
    <col min="6" max="7" width="9.140625" style="245"/>
    <col min="8" max="8" width="17.7109375" style="245" customWidth="1"/>
    <col min="9" max="9" width="10.42578125" style="245" customWidth="1"/>
    <col min="10" max="10" width="9.140625" style="245"/>
    <col min="11" max="11" width="23" style="245" customWidth="1"/>
    <col min="12" max="16384" width="9.140625" style="245"/>
  </cols>
  <sheetData>
    <row r="1" spans="1:9" ht="26.25" customHeight="1">
      <c r="B1" s="561" t="s">
        <v>918</v>
      </c>
      <c r="H1" s="619" t="s">
        <v>917</v>
      </c>
      <c r="I1" s="620"/>
    </row>
    <row r="2" spans="1:9" ht="22.5" customHeight="1" thickBot="1">
      <c r="H2" s="621"/>
      <c r="I2" s="622"/>
    </row>
    <row r="3" spans="1:9" s="563" customFormat="1" ht="16.5" thickBot="1">
      <c r="A3" s="563" t="s">
        <v>927</v>
      </c>
      <c r="B3" s="564">
        <v>1</v>
      </c>
      <c r="C3" s="565" t="s">
        <v>935</v>
      </c>
      <c r="D3" s="565"/>
      <c r="E3" s="565"/>
      <c r="H3" s="623"/>
      <c r="I3" s="624"/>
    </row>
    <row r="4" spans="1:9" ht="35.450000000000003" customHeight="1" thickBot="1">
      <c r="B4" s="566">
        <v>1.1000000000000001</v>
      </c>
      <c r="C4" s="567" t="s">
        <v>937</v>
      </c>
      <c r="D4" s="567" t="s">
        <v>926</v>
      </c>
      <c r="E4" s="559"/>
      <c r="F4" s="568" t="str">
        <f>IF(E4=0,"Zadejte instalovaný výkon","")</f>
        <v>Zadejte instalovaný výkon</v>
      </c>
      <c r="G4" s="568"/>
    </row>
    <row r="5" spans="1:9" ht="35.450000000000003" hidden="1" customHeight="1" thickBot="1">
      <c r="B5" s="566">
        <v>1.2</v>
      </c>
      <c r="C5" s="567" t="s">
        <v>938</v>
      </c>
      <c r="D5" s="567" t="s">
        <v>3</v>
      </c>
      <c r="E5" s="559"/>
      <c r="F5" s="568" t="str">
        <f>IF(E5=0,"Zadejte výrobu",IF(E5/E4&lt;500,"Příliš nízká výroba ",IF(E5/E4&gt;4000,"Příliš vysoká výroba ","")))</f>
        <v>Zadejte výrobu</v>
      </c>
      <c r="G5" s="568"/>
    </row>
    <row r="6" spans="1:9" ht="35.450000000000003" hidden="1" customHeight="1" thickBot="1">
      <c r="B6" s="566">
        <v>1.3</v>
      </c>
      <c r="C6" s="567" t="s">
        <v>936</v>
      </c>
      <c r="D6" s="569" t="s">
        <v>37</v>
      </c>
      <c r="E6" s="560"/>
      <c r="I6" s="245" t="s">
        <v>928</v>
      </c>
    </row>
    <row r="7" spans="1:9" ht="35.450000000000003" hidden="1" customHeight="1" thickBot="1">
      <c r="B7" s="566">
        <v>1.4</v>
      </c>
      <c r="C7" s="567" t="s">
        <v>939</v>
      </c>
      <c r="D7" s="567" t="s">
        <v>3</v>
      </c>
      <c r="E7" s="559"/>
    </row>
    <row r="8" spans="1:9" ht="35.450000000000003" hidden="1" customHeight="1" thickBot="1">
      <c r="B8" s="566">
        <v>1.4</v>
      </c>
      <c r="C8" s="570" t="s">
        <v>940</v>
      </c>
      <c r="D8" s="567" t="s">
        <v>3</v>
      </c>
      <c r="E8" s="559"/>
      <c r="F8" s="245" t="str">
        <f>IFERROR(IF((E5/E8&gt;0.2),"Za uvedených podmínek je příliš  vysoká pravděpodobnost překročení limitu přetoků do distribuční sítě",""),"")</f>
        <v/>
      </c>
    </row>
    <row r="9" spans="1:9" ht="35.450000000000003" customHeight="1"/>
    <row r="10" spans="1:9" ht="35.450000000000003" customHeight="1">
      <c r="D10" s="571" t="str">
        <f>IF(AND(E4&lt;&gt;0,E5&lt;&gt;0,OR(E8&lt;&gt;0,E7&lt;&gt;0),E6&lt;&gt;""),"Konec formuláře","")</f>
        <v/>
      </c>
      <c r="F10" s="572" t="str">
        <f>IF(AND(E4&lt;&gt;0,E5&lt;&gt;0,OR(E8&lt;&gt;0,E7&lt;&gt;0),E6&lt;&gt;""),"ano","ne")</f>
        <v>ne</v>
      </c>
    </row>
    <row r="11" spans="1:9" ht="35.450000000000003" customHeight="1"/>
    <row r="12" spans="1:9" ht="35.450000000000003" customHeight="1">
      <c r="I12" s="573"/>
    </row>
    <row r="13" spans="1:9" ht="35.450000000000003" customHeight="1">
      <c r="I13" s="573"/>
    </row>
    <row r="14" spans="1:9" ht="35.450000000000003" customHeight="1"/>
    <row r="15" spans="1:9" ht="35.450000000000003" customHeight="1"/>
    <row r="16" spans="1:9" ht="35.450000000000003" customHeight="1"/>
    <row r="17" ht="35.450000000000003" customHeight="1"/>
    <row r="18" ht="35.450000000000003" customHeight="1"/>
    <row r="19" ht="35.450000000000003" customHeight="1"/>
    <row r="20" ht="35.450000000000003" customHeight="1"/>
    <row r="21" ht="35.450000000000003" customHeight="1"/>
    <row r="22" ht="35.450000000000003" customHeight="1"/>
    <row r="23" ht="35.450000000000003" customHeight="1"/>
    <row r="24" ht="35.450000000000003" customHeight="1"/>
    <row r="25" ht="35.450000000000003" customHeight="1"/>
    <row r="26" ht="35.450000000000003" customHeight="1"/>
    <row r="27" ht="35.450000000000003" customHeight="1"/>
    <row r="28" ht="35.450000000000003" customHeight="1"/>
    <row r="29" ht="35.450000000000003" customHeight="1"/>
    <row r="30" ht="35.450000000000003" customHeight="1"/>
    <row r="31" ht="35.450000000000003" customHeight="1"/>
    <row r="32" ht="35.450000000000003" customHeight="1"/>
    <row r="33" ht="35.450000000000003" customHeight="1"/>
  </sheetData>
  <sheetProtection selectLockedCells="1"/>
  <mergeCells count="1">
    <mergeCell ref="H1:I3"/>
  </mergeCells>
  <dataValidations count="1">
    <dataValidation type="list" allowBlank="1" showInputMessage="1" showErrorMessage="1" sqref="E6">
      <formula1>"ano,ne"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96" r:id="rId3" name="Button 12">
              <controlPr defaultSize="0" print="0" autoFill="0" autoPict="0" macro="[0]!Button23_Click">
                <anchor moveWithCells="1" sizeWithCells="1">
                  <from>
                    <xdr:col>3</xdr:col>
                    <xdr:colOff>476250</xdr:colOff>
                    <xdr:row>0</xdr:row>
                    <xdr:rowOff>76200</xdr:rowOff>
                  </from>
                  <to>
                    <xdr:col>4</xdr:col>
                    <xdr:colOff>657225</xdr:colOff>
                    <xdr:row>1</xdr:row>
                    <xdr:rowOff>66675</xdr:rowOff>
                  </to>
                </anchor>
              </controlPr>
            </control>
          </mc:Choice>
        </mc:AlternateContent>
        <mc:AlternateContent xmlns:mc="http://schemas.openxmlformats.org/markup-compatibility/2006">
          <mc:Choice Requires="x14">
            <control shapeId="16397" r:id="rId4" name="Button 13">
              <controlPr defaultSize="0" print="0" autoFill="0" autoPict="0" macro="[0]!Sheet1.reset_FVE">
                <anchor moveWithCells="1" sizeWithCells="1">
                  <from>
                    <xdr:col>7</xdr:col>
                    <xdr:colOff>561975</xdr:colOff>
                    <xdr:row>3</xdr:row>
                    <xdr:rowOff>123825</xdr:rowOff>
                  </from>
                  <to>
                    <xdr:col>8</xdr:col>
                    <xdr:colOff>104775</xdr:colOff>
                    <xdr:row>3</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CE382"/>
  <sheetViews>
    <sheetView zoomScale="81" zoomScaleNormal="115" zoomScaleSheetLayoutView="130" workbookViewId="0">
      <selection activeCell="F4" sqref="F4"/>
    </sheetView>
  </sheetViews>
  <sheetFormatPr defaultColWidth="9.140625" defaultRowHeight="15"/>
  <cols>
    <col min="1" max="1" width="1.85546875" style="339" customWidth="1"/>
    <col min="2" max="2" width="7" style="390" customWidth="1"/>
    <col min="3" max="3" width="46.42578125" style="390" customWidth="1"/>
    <col min="4" max="4" width="27.42578125" style="339" customWidth="1"/>
    <col min="5" max="5" width="20.28515625" style="339" customWidth="1"/>
    <col min="6" max="6" width="76.28515625" style="339" customWidth="1"/>
    <col min="7" max="7" width="63.7109375" style="329" customWidth="1"/>
    <col min="8" max="8" width="21.7109375" style="518" customWidth="1"/>
    <col min="9" max="9" width="12.85546875" style="515" customWidth="1"/>
    <col min="10" max="10" width="12.28515625" style="329" customWidth="1"/>
    <col min="11" max="11" width="18.85546875" style="329" customWidth="1"/>
    <col min="12" max="12" width="12.7109375" style="329" customWidth="1"/>
    <col min="13" max="13" width="9.140625" style="329"/>
    <col min="14" max="83" width="9.140625" style="326"/>
    <col min="84" max="16384" width="9.140625" style="339"/>
  </cols>
  <sheetData>
    <row r="1" spans="1:13" s="326" customFormat="1" ht="26.25" customHeight="1">
      <c r="B1" s="327" t="s">
        <v>737</v>
      </c>
      <c r="C1" s="328"/>
      <c r="D1" s="2"/>
      <c r="E1" s="514"/>
      <c r="F1" s="514"/>
      <c r="G1" s="625" t="s">
        <v>917</v>
      </c>
      <c r="H1" s="625"/>
      <c r="I1" s="514"/>
      <c r="J1" s="514"/>
      <c r="K1" s="534"/>
      <c r="L1" s="534"/>
      <c r="M1" s="329"/>
    </row>
    <row r="2" spans="1:13" s="326" customFormat="1" ht="15" customHeight="1">
      <c r="B2" s="330"/>
      <c r="C2" s="331"/>
      <c r="D2" s="332"/>
      <c r="E2" s="332"/>
      <c r="F2" s="332"/>
      <c r="G2" s="625"/>
      <c r="H2" s="625"/>
      <c r="I2" s="514"/>
      <c r="J2" s="514"/>
      <c r="K2" s="534"/>
      <c r="L2" s="534"/>
      <c r="M2" s="329"/>
    </row>
    <row r="3" spans="1:13" s="326" customFormat="1" ht="30" customHeight="1">
      <c r="B3" s="268" t="s">
        <v>121</v>
      </c>
      <c r="C3" s="269" t="s">
        <v>730</v>
      </c>
      <c r="D3" s="270"/>
      <c r="E3" s="270"/>
      <c r="F3" s="333"/>
      <c r="G3" s="384"/>
      <c r="H3" s="514"/>
      <c r="I3" s="514"/>
      <c r="J3" s="514"/>
      <c r="K3" s="534"/>
      <c r="L3" s="534"/>
      <c r="M3" s="329"/>
    </row>
    <row r="4" spans="1:13" s="326" customFormat="1" ht="35.450000000000003" customHeight="1" thickBot="1">
      <c r="B4" s="335" t="s">
        <v>27</v>
      </c>
      <c r="C4" s="336" t="s">
        <v>478</v>
      </c>
      <c r="D4" s="633" t="s">
        <v>30</v>
      </c>
      <c r="E4" s="634"/>
      <c r="F4" s="64"/>
      <c r="G4" s="334"/>
      <c r="H4" s="514" t="b">
        <f>IF(OR(parametry!B136=1,parametry!B136=2),FALSE,TRUE)</f>
        <v>1</v>
      </c>
      <c r="I4" s="533"/>
      <c r="J4" s="534"/>
      <c r="K4" s="534"/>
      <c r="L4" s="534"/>
      <c r="M4" s="329"/>
    </row>
    <row r="5" spans="1:13" s="326" customFormat="1" ht="35.450000000000003" customHeight="1" thickBot="1">
      <c r="B5" s="335" t="s">
        <v>106</v>
      </c>
      <c r="C5" s="336" t="s">
        <v>823</v>
      </c>
      <c r="D5" s="633" t="s">
        <v>30</v>
      </c>
      <c r="E5" s="634"/>
      <c r="F5" s="64"/>
      <c r="G5" s="334"/>
      <c r="H5" s="514" t="b">
        <f>ISBLANK(F5)</f>
        <v>1</v>
      </c>
      <c r="I5" s="533"/>
      <c r="J5" s="534"/>
      <c r="K5" s="534"/>
      <c r="L5" s="534"/>
      <c r="M5" s="329"/>
    </row>
    <row r="6" spans="1:13" s="326" customFormat="1" ht="35.450000000000003" customHeight="1" thickBot="1">
      <c r="B6" s="335" t="s">
        <v>242</v>
      </c>
      <c r="C6" s="336" t="s">
        <v>241</v>
      </c>
      <c r="D6" s="631" t="s">
        <v>445</v>
      </c>
      <c r="E6" s="632"/>
      <c r="F6" s="64"/>
      <c r="G6" s="334"/>
      <c r="H6" s="514" t="b">
        <f>ISBLANK(F6)</f>
        <v>1</v>
      </c>
      <c r="I6" s="533"/>
      <c r="J6" s="534"/>
      <c r="K6" s="534"/>
      <c r="L6" s="534"/>
      <c r="M6" s="329"/>
    </row>
    <row r="7" spans="1:13" s="326" customFormat="1" ht="35.450000000000003" customHeight="1" thickBot="1">
      <c r="B7" s="335" t="s">
        <v>28</v>
      </c>
      <c r="C7" s="336" t="s">
        <v>645</v>
      </c>
      <c r="D7" s="631" t="s">
        <v>445</v>
      </c>
      <c r="E7" s="632"/>
      <c r="F7" s="64"/>
      <c r="G7" s="334"/>
      <c r="H7" s="514" t="b">
        <f>IF(ISBLANK(F7),TRUE,IF(F7="ne",TRUE,FALSE))</f>
        <v>1</v>
      </c>
      <c r="I7" s="533"/>
      <c r="J7" s="534"/>
      <c r="K7" s="534"/>
      <c r="L7" s="534"/>
      <c r="M7" s="329"/>
    </row>
    <row r="8" spans="1:13" ht="35.450000000000003" customHeight="1" thickBot="1">
      <c r="A8" s="326"/>
      <c r="B8" s="337" t="s">
        <v>108</v>
      </c>
      <c r="C8" s="338" t="s">
        <v>734</v>
      </c>
      <c r="D8" s="631" t="s">
        <v>3</v>
      </c>
      <c r="E8" s="640"/>
      <c r="F8" s="63"/>
      <c r="G8" s="334" t="str">
        <f>IFERROR(IF(ISBLANK(F8)=FALSE,IF(F8/F9&gt;1000,"Příliš vysoká spotřeba energie na m2 plochy. Zkontrolujte spotřebu a podlahovou plochu",IF(F8/F9&lt;30,"Příliš nízká spotřeba energie na m2 plochy. Zkontrolujte zadanou spotřebu a podlahovou plochu.","")),""),"")</f>
        <v/>
      </c>
      <c r="H8" s="514" t="b">
        <f>IF(ISBLANK(F7),TRUE,IF(AND(ISBLANK(F8),F7="ano"),TRUE,FALSE))</f>
        <v>1</v>
      </c>
      <c r="I8" s="533"/>
      <c r="J8" s="534"/>
      <c r="K8" s="534"/>
      <c r="L8" s="534"/>
    </row>
    <row r="9" spans="1:13" ht="35.450000000000003" customHeight="1" thickBot="1">
      <c r="A9" s="326"/>
      <c r="B9" s="337" t="s">
        <v>109</v>
      </c>
      <c r="C9" s="340" t="s">
        <v>862</v>
      </c>
      <c r="D9" s="631" t="s">
        <v>219</v>
      </c>
      <c r="E9" s="632"/>
      <c r="F9" s="63"/>
      <c r="G9" s="334" t="str">
        <f>IF(F9=0,"Zadejte podlahovou plochu vytápěné části v m2 - součet všech podlaží, včetně obvodových stěn","")</f>
        <v>Zadejte podlahovou plochu vytápěné části v m2 - součet všech podlaží, včetně obvodových stěn</v>
      </c>
      <c r="H9" s="514" t="b">
        <f>ISBLANK(F9)</f>
        <v>1</v>
      </c>
      <c r="I9" s="533"/>
      <c r="J9" s="534"/>
      <c r="K9" s="534"/>
      <c r="L9" s="534"/>
    </row>
    <row r="10" spans="1:13" ht="35.450000000000003" customHeight="1" thickBot="1">
      <c r="A10" s="326"/>
      <c r="B10" s="337" t="s">
        <v>210</v>
      </c>
      <c r="C10" s="341" t="s">
        <v>648</v>
      </c>
      <c r="D10" s="631" t="s">
        <v>30</v>
      </c>
      <c r="E10" s="632"/>
      <c r="F10" s="61"/>
      <c r="G10" s="334"/>
      <c r="H10" s="514" t="b">
        <f>ISBLANK(F10)</f>
        <v>1</v>
      </c>
      <c r="I10" s="534"/>
      <c r="J10" s="534"/>
      <c r="K10" s="534"/>
      <c r="L10" s="534"/>
    </row>
    <row r="11" spans="1:13" ht="35.450000000000003" customHeight="1" thickBot="1">
      <c r="A11" s="326"/>
      <c r="B11" s="337" t="s">
        <v>228</v>
      </c>
      <c r="C11" s="340" t="s">
        <v>235</v>
      </c>
      <c r="D11" s="631" t="s">
        <v>236</v>
      </c>
      <c r="E11" s="632"/>
      <c r="F11" s="61"/>
      <c r="G11" s="334" t="str">
        <f>IF(ISBLANK(F11),"Zadejte vnitřní teplotu v objektu, pozn. standartně 20°C pro pobyt osob","")</f>
        <v>Zadejte vnitřní teplotu v objektu, pozn. standartně 20°C pro pobyt osob</v>
      </c>
      <c r="H11" s="514" t="b">
        <f>ISBLANK(F11)</f>
        <v>1</v>
      </c>
      <c r="I11" s="534"/>
      <c r="J11" s="534"/>
      <c r="K11" s="534"/>
      <c r="L11" s="534"/>
    </row>
    <row r="12" spans="1:13" ht="35.450000000000003" customHeight="1" thickBot="1">
      <c r="A12" s="326"/>
      <c r="B12" s="337" t="s">
        <v>229</v>
      </c>
      <c r="C12" s="340" t="s">
        <v>479</v>
      </c>
      <c r="D12" s="631" t="s">
        <v>445</v>
      </c>
      <c r="E12" s="640"/>
      <c r="F12" s="128"/>
      <c r="G12" s="342" t="str">
        <f>IF(F12="ano","Vyplňte údaje na listu KOTEL",IF(parametry!B109=TRUE,"Pozor na hlavním listu jste zaškrtli, že dochází k výměně zdroje, je nutno specifikovat zdroj na listu Kotel",""))</f>
        <v/>
      </c>
      <c r="H12" s="514" t="b">
        <f>OR(ISBLANK(F12),ISBLANK(F11),$F$12="ano",parametry!B109=TRUE)</f>
        <v>1</v>
      </c>
      <c r="I12" s="534"/>
      <c r="J12" s="534"/>
      <c r="K12" s="534"/>
      <c r="L12" s="534"/>
    </row>
    <row r="13" spans="1:13" ht="35.450000000000003" customHeight="1" thickBot="1">
      <c r="A13" s="326"/>
      <c r="B13" s="337" t="s">
        <v>480</v>
      </c>
      <c r="C13" s="340" t="s">
        <v>620</v>
      </c>
      <c r="D13" s="631" t="s">
        <v>30</v>
      </c>
      <c r="E13" s="640"/>
      <c r="F13" s="128"/>
      <c r="G13" s="334" t="str">
        <f>IF(ISBLANK(F13),"Vyberte převažující zdroj vytápění","")</f>
        <v>Vyberte převažující zdroj vytápění</v>
      </c>
      <c r="H13" s="514" t="b">
        <f>OR(ISBLANK(F13),$F$12="ano",$F$13="kotel na topný olej",$F$13="elektrokotel",$F$13="kotel na zemní plyn",$F$13="tepelné cerpadlo")</f>
        <v>1</v>
      </c>
      <c r="I13" s="534"/>
      <c r="J13" s="534"/>
      <c r="K13" s="534"/>
      <c r="L13" s="534"/>
    </row>
    <row r="14" spans="1:13" ht="35.450000000000003" customHeight="1" thickBot="1">
      <c r="A14" s="326"/>
      <c r="B14" s="337" t="s">
        <v>481</v>
      </c>
      <c r="C14" s="340" t="s">
        <v>482</v>
      </c>
      <c r="D14" s="343"/>
      <c r="E14" s="344"/>
      <c r="F14" s="128"/>
      <c r="G14" s="334"/>
      <c r="H14" s="514" t="b">
        <f>IF(AND(H13=FALSE,ISBLANK(F14)),TRUE,IF(AND(H13=TRUE,ISBLANK(F13)),TRUE,FALSE))</f>
        <v>1</v>
      </c>
      <c r="I14" s="534"/>
      <c r="J14" s="534"/>
      <c r="K14" s="534"/>
      <c r="L14" s="534"/>
    </row>
    <row r="15" spans="1:13" s="326" customFormat="1" ht="5.45" customHeight="1" thickBot="1">
      <c r="B15" s="345"/>
      <c r="C15" s="346"/>
      <c r="D15" s="347"/>
      <c r="E15" s="347"/>
      <c r="F15" s="398"/>
      <c r="G15" s="334"/>
      <c r="H15" s="514"/>
      <c r="I15" s="534"/>
      <c r="J15" s="534"/>
      <c r="K15" s="534"/>
      <c r="L15" s="534"/>
      <c r="M15" s="329"/>
    </row>
    <row r="16" spans="1:13" s="326" customFormat="1" ht="6.6" customHeight="1" thickBot="1">
      <c r="B16" s="345"/>
      <c r="C16" s="346"/>
      <c r="D16" s="347"/>
      <c r="E16" s="347"/>
      <c r="F16" s="398"/>
      <c r="G16" s="334"/>
      <c r="H16" s="514"/>
      <c r="I16" s="534"/>
      <c r="J16" s="534"/>
      <c r="K16" s="534"/>
      <c r="L16" s="534"/>
      <c r="M16" s="329"/>
    </row>
    <row r="17" spans="1:13" s="326" customFormat="1" ht="49.9" customHeight="1" thickBot="1">
      <c r="A17" s="339"/>
      <c r="B17" s="348" t="s">
        <v>123</v>
      </c>
      <c r="C17" s="349" t="s">
        <v>444</v>
      </c>
      <c r="D17" s="350"/>
      <c r="E17" s="350"/>
      <c r="F17" s="351"/>
      <c r="G17" s="352"/>
      <c r="H17" s="515" t="b">
        <f>IF(ISBLANK(F4),TRUE,IF(AND(parametry!B136=2,OR(ISBLANK(F12),AND(F12="ne",OR(ISBLANK(F13),AND(OR(F13="kotel na tuhá paliva",F13="centrální zásobování teplem"),ISBLANK(F14)))))),TRUE,IF(parametry!B136=1,TRUE,IF(ISBLANK(parametry!B136),TRUE,FALSE))))</f>
        <v>1</v>
      </c>
      <c r="I17" s="534"/>
      <c r="J17" s="534"/>
      <c r="K17" s="534"/>
      <c r="L17" s="534"/>
      <c r="M17" s="329"/>
    </row>
    <row r="18" spans="1:13" s="326" customFormat="1" ht="49.9" customHeight="1" thickBot="1">
      <c r="A18" s="339"/>
      <c r="B18" s="353" t="s">
        <v>32</v>
      </c>
      <c r="C18" s="341" t="s">
        <v>653</v>
      </c>
      <c r="D18" s="631" t="s">
        <v>243</v>
      </c>
      <c r="E18" s="632"/>
      <c r="F18" s="62"/>
      <c r="G18" s="334" t="s">
        <v>244</v>
      </c>
      <c r="H18" s="514" t="b">
        <f>IF(H17=TRUE,TRUE,ISBLANK(F18))</f>
        <v>1</v>
      </c>
      <c r="I18" s="534"/>
      <c r="J18" s="534"/>
      <c r="K18" s="534"/>
      <c r="L18" s="534"/>
      <c r="M18" s="329"/>
    </row>
    <row r="19" spans="1:13" s="326" customFormat="1" ht="49.9" customHeight="1" thickBot="1">
      <c r="A19" s="339"/>
      <c r="B19" s="353" t="s">
        <v>36</v>
      </c>
      <c r="C19" s="341" t="s">
        <v>654</v>
      </c>
      <c r="D19" s="631" t="s">
        <v>243</v>
      </c>
      <c r="E19" s="632"/>
      <c r="F19" s="62"/>
      <c r="G19" s="334" t="s">
        <v>244</v>
      </c>
      <c r="H19" s="514" t="b">
        <f>ISBLANK(F19)</f>
        <v>1</v>
      </c>
      <c r="I19" s="520"/>
      <c r="J19" s="122"/>
      <c r="K19" s="122"/>
      <c r="L19" s="122"/>
      <c r="M19" s="329"/>
    </row>
    <row r="20" spans="1:13" s="326" customFormat="1" ht="49.9" customHeight="1" thickBot="1">
      <c r="A20" s="339"/>
      <c r="B20" s="353" t="s">
        <v>111</v>
      </c>
      <c r="C20" s="341" t="s">
        <v>652</v>
      </c>
      <c r="D20" s="631" t="s">
        <v>3</v>
      </c>
      <c r="E20" s="632"/>
      <c r="F20" s="125"/>
      <c r="G20" s="354" t="str">
        <f>IF(ISBLANK(F20),"Zadejte hodnotu z PENB po realizaci z tabulky: Energetická náročnost hodnocené budovy  e) požadavek na celkovou dodanou energii",IF(F20/$F$9&lt;20,"Zadaná hodnota spotřeby je příliš nízká",""))</f>
        <v>Zadejte hodnotu z PENB po realizaci z tabulky: Energetická náročnost hodnocené budovy  e) požadavek na celkovou dodanou energii</v>
      </c>
      <c r="H20" s="514" t="b">
        <f>ISBLANK(F20)</f>
        <v>1</v>
      </c>
      <c r="I20" s="520"/>
      <c r="J20" s="122"/>
      <c r="K20" s="122"/>
      <c r="L20" s="122"/>
      <c r="M20" s="329"/>
    </row>
    <row r="21" spans="1:13" s="326" customFormat="1" ht="49.9" customHeight="1" thickBot="1">
      <c r="A21" s="339"/>
      <c r="B21" s="353" t="s">
        <v>170</v>
      </c>
      <c r="C21" s="341" t="s">
        <v>651</v>
      </c>
      <c r="D21" s="631" t="s">
        <v>3</v>
      </c>
      <c r="E21" s="632"/>
      <c r="F21" s="125"/>
      <c r="G21" s="354" t="str">
        <f>IF(ISBLANK(F21),"Zadejte hodnotu z PENB po realizaci z tabulky: Energetická náročnost hodnocené budovy  e) požadavek na celkovou dodanou energii",IF(F21/$F$9&lt;20,"Zadaná hodnota spotřeby je příliš nízká",""))</f>
        <v>Zadejte hodnotu z PENB po realizaci z tabulky: Energetická náročnost hodnocené budovy  e) požadavek na celkovou dodanou energii</v>
      </c>
      <c r="H21" s="514" t="b">
        <f>ISBLANK(F21)</f>
        <v>1</v>
      </c>
      <c r="I21" s="520"/>
      <c r="J21" s="122"/>
      <c r="K21" s="122"/>
      <c r="L21" s="122"/>
      <c r="M21" s="329"/>
    </row>
    <row r="22" spans="1:13" s="326" customFormat="1" ht="49.9" customHeight="1" thickBot="1">
      <c r="A22" s="339"/>
      <c r="B22" s="353" t="s">
        <v>113</v>
      </c>
      <c r="C22" s="341" t="s">
        <v>650</v>
      </c>
      <c r="D22" s="631" t="s">
        <v>3</v>
      </c>
      <c r="E22" s="632"/>
      <c r="F22" s="125"/>
      <c r="G22" s="354" t="str">
        <f>IF(ISBLANK(F22),"Zadejte hodnotu z PENB po realizaci z tabulky: Energetická náročnost hodnocené budovy  e) požadavek na celkovou dodanou energii",IF(F22/$F$9&lt;20,"Zadaná hodnota spotřeby je příliš nízká",""))</f>
        <v>Zadejte hodnotu z PENB po realizaci z tabulky: Energetická náročnost hodnocené budovy  e) požadavek na celkovou dodanou energii</v>
      </c>
      <c r="H22" s="514" t="b">
        <f>ISBLANK(F22)</f>
        <v>1</v>
      </c>
      <c r="I22" s="520"/>
      <c r="J22" s="122"/>
      <c r="K22" s="122"/>
      <c r="L22" s="122"/>
      <c r="M22" s="329"/>
    </row>
    <row r="23" spans="1:13" s="326" customFormat="1" ht="49.9" customHeight="1" thickBot="1">
      <c r="A23" s="339"/>
      <c r="B23" s="353" t="s">
        <v>464</v>
      </c>
      <c r="C23" s="635" t="s">
        <v>455</v>
      </c>
      <c r="D23" s="636"/>
      <c r="E23" s="637"/>
      <c r="F23" s="355" t="str">
        <f>IF(OR(parametry!B136=1,ISBLANK(F22)),"",IF(F20/F22&gt;0.9,"Projekt nedosahuje 10% úspory; je nezpůsobilý v rámci programu, zkuste zadat projektu znovu pomocí kalkulačky",IF(OR(F21/$F$9&lt;20,F22/$F$9&lt;20,F20/$F$9&lt;20),"Zkontrolujte prosím správnost zadaných zadaných spotřeb (body 2.3, 2.4, 2.5) a vytápěné plochy (bod 1.6). Pokud jsou zadány správně, potvrďte zadání dat v řádku 2.7",IF(OR(F18&lt;0.95*F19,F20&lt;0.9*F21),"Projekt jako celek splňuje požadavky na energetickou náročnost","Projekt jako celek nesplňuje požadavky na energetickou náročnost"))))</f>
        <v/>
      </c>
      <c r="G23" s="334" t="str">
        <f>IF(F23="Projekt jako celek nesplňuje požadavky na energetickou náročnost","Doplňte součinitele prostupu tepla u jednotlivých opatření níže v tabulce 4","")</f>
        <v/>
      </c>
      <c r="H23" s="516" t="b">
        <f>IF(ISBLANK(F22),TRUE,IF(F23="Zkontrolujte prosím správnost zadaných zadaných spotřeb (body 2.3, 2.4, 2.5) a vytápěné plochy (bod 1.6). Pokud jsou zadány správně, potvrďte zadání dat v řádku 2.7",FALSE,TRUE))</f>
        <v>1</v>
      </c>
      <c r="I23" s="520"/>
      <c r="J23" s="122"/>
      <c r="K23" s="122"/>
      <c r="L23" s="122"/>
      <c r="M23" s="329"/>
    </row>
    <row r="24" spans="1:13" s="326" customFormat="1" ht="49.9" customHeight="1" thickBot="1">
      <c r="A24" s="339"/>
      <c r="B24" s="353" t="s">
        <v>465</v>
      </c>
      <c r="C24" s="341" t="s">
        <v>453</v>
      </c>
      <c r="D24" s="633"/>
      <c r="E24" s="634"/>
      <c r="F24" s="64"/>
      <c r="G24" s="334"/>
      <c r="H24" s="514"/>
      <c r="I24" s="520"/>
      <c r="J24" s="122"/>
      <c r="K24" s="122"/>
      <c r="L24" s="122"/>
      <c r="M24" s="329"/>
    </row>
    <row r="25" spans="1:13" s="326" customFormat="1" ht="15.75" customHeight="1" thickBot="1">
      <c r="B25" s="356"/>
      <c r="C25" s="346"/>
      <c r="D25" s="347"/>
      <c r="E25" s="347"/>
      <c r="F25" s="398"/>
      <c r="G25" s="334"/>
      <c r="H25" s="514"/>
      <c r="I25" s="520"/>
      <c r="J25" s="122"/>
      <c r="K25" s="122"/>
      <c r="L25" s="122"/>
      <c r="M25" s="329"/>
    </row>
    <row r="26" spans="1:13" ht="43.15" customHeight="1" thickBot="1">
      <c r="A26" s="326"/>
      <c r="B26" s="357" t="s">
        <v>131</v>
      </c>
      <c r="C26" s="358" t="s">
        <v>735</v>
      </c>
      <c r="D26" s="359"/>
      <c r="E26" s="359"/>
      <c r="F26" s="360"/>
      <c r="G26" s="361" t="s">
        <v>863</v>
      </c>
      <c r="H26" s="514" t="b">
        <f>IF(parametry!B136=2,I26,J26)</f>
        <v>1</v>
      </c>
      <c r="I26" s="514" t="b">
        <f>IF(AND(parametry!B136=2,H22=FALSE,OR(F23="Projekt jako celek splňuje požadavky na energetickou náročnost",F23="Projekt jako celek nesplňuje požadavky na energetickou náročnost")),FALSE,IF(AND(parametry!B136=2,ISBLANK(F24)),TRUE,FALSE))</f>
        <v>0</v>
      </c>
      <c r="J26" s="514" t="b">
        <f>IF(AND(parametry!B136=1,H13=TRUE,H14=FALSE),FALSE,IF(F12="ano",FALSE,IF(AND(H13=FALSE,H14=FALSE),FALSE,TRUE)))</f>
        <v>1</v>
      </c>
      <c r="L26" s="122"/>
    </row>
    <row r="27" spans="1:13" s="326" customFormat="1" ht="30" customHeight="1" thickBot="1">
      <c r="B27" s="337" t="s">
        <v>41</v>
      </c>
      <c r="C27" s="362" t="s">
        <v>736</v>
      </c>
      <c r="D27" s="363"/>
      <c r="E27" s="363"/>
      <c r="F27" s="363"/>
      <c r="G27" s="334"/>
      <c r="H27" s="514"/>
      <c r="I27" s="520"/>
      <c r="J27" s="122"/>
      <c r="K27" s="122"/>
      <c r="L27" s="122"/>
      <c r="M27" s="329"/>
    </row>
    <row r="28" spans="1:13" s="326" customFormat="1" ht="30" customHeight="1" thickBot="1">
      <c r="B28" s="337" t="s">
        <v>533</v>
      </c>
      <c r="C28" s="364" t="s">
        <v>655</v>
      </c>
      <c r="D28" s="631" t="s">
        <v>261</v>
      </c>
      <c r="E28" s="632"/>
      <c r="F28" s="61"/>
      <c r="G28" s="334" t="s">
        <v>814</v>
      </c>
      <c r="H28" s="514" t="b">
        <f t="shared" ref="H28:H34" si="0">ISBLANK(F28)</f>
        <v>1</v>
      </c>
      <c r="I28" s="520"/>
      <c r="J28" s="122"/>
      <c r="K28" s="122"/>
      <c r="L28" s="122"/>
      <c r="M28" s="329"/>
    </row>
    <row r="29" spans="1:13" s="326" customFormat="1" ht="30" customHeight="1" thickBot="1">
      <c r="B29" s="365" t="s">
        <v>534</v>
      </c>
      <c r="C29" s="638" t="s">
        <v>656</v>
      </c>
      <c r="D29" s="631" t="s">
        <v>262</v>
      </c>
      <c r="E29" s="632"/>
      <c r="F29" s="61"/>
      <c r="G29" s="334" t="s">
        <v>864</v>
      </c>
      <c r="H29" s="514" t="b">
        <f t="shared" si="0"/>
        <v>1</v>
      </c>
      <c r="I29" s="520"/>
      <c r="J29" s="122"/>
      <c r="K29" s="122"/>
      <c r="L29" s="122"/>
      <c r="M29" s="329"/>
    </row>
    <row r="30" spans="1:13" s="326" customFormat="1" ht="30" customHeight="1" thickBot="1">
      <c r="B30" s="366" t="s">
        <v>535</v>
      </c>
      <c r="C30" s="639"/>
      <c r="D30" s="631" t="s">
        <v>261</v>
      </c>
      <c r="E30" s="632"/>
      <c r="F30" s="61"/>
      <c r="G30" s="334" t="s">
        <v>815</v>
      </c>
      <c r="H30" s="514" t="b">
        <f t="shared" si="0"/>
        <v>1</v>
      </c>
      <c r="I30" s="520"/>
      <c r="J30" s="122"/>
      <c r="K30" s="122"/>
      <c r="L30" s="122"/>
      <c r="M30" s="329"/>
    </row>
    <row r="31" spans="1:13" s="326" customFormat="1" ht="30" customHeight="1" thickBot="1">
      <c r="B31" s="626" t="s">
        <v>536</v>
      </c>
      <c r="C31" s="626" t="s">
        <v>658</v>
      </c>
      <c r="D31" s="631" t="s">
        <v>262</v>
      </c>
      <c r="E31" s="632"/>
      <c r="F31" s="61"/>
      <c r="G31" s="334" t="s">
        <v>865</v>
      </c>
      <c r="H31" s="514" t="b">
        <f t="shared" si="0"/>
        <v>1</v>
      </c>
      <c r="I31" s="520"/>
      <c r="J31" s="122"/>
      <c r="K31" s="122"/>
      <c r="L31" s="122"/>
      <c r="M31" s="329"/>
    </row>
    <row r="32" spans="1:13" s="326" customFormat="1" ht="30" customHeight="1" thickBot="1">
      <c r="B32" s="627" t="s">
        <v>537</v>
      </c>
      <c r="C32" s="627"/>
      <c r="D32" s="631" t="s">
        <v>261</v>
      </c>
      <c r="E32" s="632"/>
      <c r="F32" s="61"/>
      <c r="G32" s="334" t="s">
        <v>815</v>
      </c>
      <c r="H32" s="514" t="b">
        <f t="shared" si="0"/>
        <v>1</v>
      </c>
      <c r="I32" s="520"/>
      <c r="J32" s="122"/>
      <c r="K32" s="122"/>
      <c r="L32" s="122"/>
      <c r="M32" s="329"/>
    </row>
    <row r="33" spans="1:83" s="326" customFormat="1" ht="30" customHeight="1" thickBot="1">
      <c r="B33" s="364" t="s">
        <v>538</v>
      </c>
      <c r="C33" s="364" t="s">
        <v>659</v>
      </c>
      <c r="D33" s="631" t="s">
        <v>262</v>
      </c>
      <c r="E33" s="632"/>
      <c r="F33" s="61"/>
      <c r="G33" s="334" t="s">
        <v>816</v>
      </c>
      <c r="H33" s="514" t="b">
        <f t="shared" si="0"/>
        <v>1</v>
      </c>
      <c r="I33" s="520"/>
      <c r="J33" s="122"/>
      <c r="K33" s="122"/>
      <c r="L33" s="122"/>
      <c r="M33" s="329"/>
    </row>
    <row r="34" spans="1:83" s="326" customFormat="1" ht="30" customHeight="1" thickBot="1">
      <c r="B34" s="364" t="s">
        <v>539</v>
      </c>
      <c r="C34" s="364" t="s">
        <v>660</v>
      </c>
      <c r="D34" s="631" t="s">
        <v>262</v>
      </c>
      <c r="E34" s="632"/>
      <c r="F34" s="61"/>
      <c r="G34" s="334" t="s">
        <v>817</v>
      </c>
      <c r="H34" s="514" t="b">
        <f t="shared" si="0"/>
        <v>1</v>
      </c>
      <c r="I34" s="520"/>
      <c r="J34" s="122"/>
      <c r="K34" s="122"/>
      <c r="L34" s="122"/>
      <c r="M34" s="329"/>
    </row>
    <row r="35" spans="1:83" s="326" customFormat="1" ht="30" customHeight="1" thickBot="1">
      <c r="B35" s="364" t="s">
        <v>540</v>
      </c>
      <c r="C35" s="364" t="s">
        <v>661</v>
      </c>
      <c r="D35" s="631" t="s">
        <v>262</v>
      </c>
      <c r="E35" s="632"/>
      <c r="F35" s="62"/>
      <c r="G35" s="334" t="s">
        <v>818</v>
      </c>
      <c r="H35" s="514"/>
      <c r="I35" s="520"/>
      <c r="J35" s="122"/>
      <c r="K35" s="122"/>
      <c r="L35" s="122"/>
      <c r="M35" s="329"/>
    </row>
    <row r="36" spans="1:83" ht="30" hidden="1" customHeight="1" thickBot="1">
      <c r="A36" s="326"/>
      <c r="B36" s="337" t="s">
        <v>466</v>
      </c>
      <c r="C36" s="362" t="s">
        <v>175</v>
      </c>
      <c r="D36" s="367"/>
      <c r="E36" s="367"/>
      <c r="F36" s="397"/>
      <c r="G36" s="368"/>
      <c r="H36" s="517"/>
      <c r="I36" s="520"/>
      <c r="J36" s="122"/>
      <c r="K36" s="122"/>
      <c r="L36" s="122"/>
    </row>
    <row r="37" spans="1:83" ht="30" hidden="1" customHeight="1" thickBot="1">
      <c r="A37" s="326"/>
      <c r="B37" s="369"/>
      <c r="C37" s="628" t="s">
        <v>176</v>
      </c>
      <c r="D37" s="370" t="s">
        <v>37</v>
      </c>
      <c r="E37" s="371"/>
      <c r="F37" s="61"/>
      <c r="G37" s="334"/>
      <c r="H37" s="517"/>
      <c r="I37" s="520"/>
      <c r="J37" s="122"/>
      <c r="K37" s="122"/>
      <c r="L37" s="122"/>
    </row>
    <row r="38" spans="1:83" ht="30" hidden="1" customHeight="1" thickBot="1">
      <c r="A38" s="326"/>
      <c r="B38" s="369"/>
      <c r="C38" s="629"/>
      <c r="D38" s="370" t="s">
        <v>38</v>
      </c>
      <c r="E38" s="371"/>
      <c r="F38" s="61"/>
      <c r="G38" s="334"/>
      <c r="H38" s="514"/>
      <c r="I38" s="514"/>
      <c r="J38" s="121"/>
      <c r="K38" s="121"/>
      <c r="L38" s="122"/>
      <c r="M38" s="372"/>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row>
    <row r="39" spans="1:83" ht="30" hidden="1" customHeight="1" thickBot="1">
      <c r="A39" s="326"/>
      <c r="B39" s="369"/>
      <c r="C39" s="629"/>
      <c r="D39" s="371" t="s">
        <v>394</v>
      </c>
      <c r="E39" s="371"/>
      <c r="F39" s="61"/>
      <c r="G39" s="334"/>
      <c r="H39" s="514"/>
      <c r="I39" s="514"/>
      <c r="J39" s="121"/>
      <c r="K39" s="121"/>
      <c r="L39" s="122"/>
      <c r="M39" s="372"/>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row>
    <row r="40" spans="1:83" ht="30" hidden="1" customHeight="1" thickBot="1">
      <c r="A40" s="326"/>
      <c r="B40" s="369"/>
      <c r="C40" s="630"/>
      <c r="D40" s="371" t="s">
        <v>392</v>
      </c>
      <c r="E40" s="371"/>
      <c r="F40" s="111"/>
      <c r="G40" s="334"/>
      <c r="H40" s="514"/>
      <c r="I40" s="514"/>
      <c r="J40" s="121"/>
      <c r="K40" s="121"/>
      <c r="L40" s="122"/>
      <c r="M40" s="372"/>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row>
    <row r="41" spans="1:83" ht="30" hidden="1" customHeight="1" thickBot="1">
      <c r="A41" s="326"/>
      <c r="B41" s="369"/>
      <c r="C41" s="628" t="s">
        <v>177</v>
      </c>
      <c r="D41" s="370" t="s">
        <v>37</v>
      </c>
      <c r="E41" s="371"/>
      <c r="F41" s="61"/>
      <c r="G41" s="334"/>
      <c r="H41" s="517"/>
      <c r="I41" s="520"/>
      <c r="J41" s="122"/>
      <c r="K41" s="122"/>
      <c r="L41" s="122"/>
      <c r="M41" s="372"/>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row>
    <row r="42" spans="1:83" ht="30" hidden="1" customHeight="1" thickBot="1">
      <c r="A42" s="326"/>
      <c r="B42" s="369"/>
      <c r="C42" s="629"/>
      <c r="D42" s="370" t="s">
        <v>38</v>
      </c>
      <c r="E42" s="371"/>
      <c r="F42" s="61"/>
      <c r="G42" s="334"/>
      <c r="H42" s="517"/>
      <c r="I42" s="520"/>
      <c r="J42" s="122"/>
      <c r="K42" s="122"/>
      <c r="L42" s="122"/>
      <c r="M42" s="372"/>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row>
    <row r="43" spans="1:83" ht="30" hidden="1" customHeight="1" thickBot="1">
      <c r="A43" s="326"/>
      <c r="B43" s="369"/>
      <c r="C43" s="629"/>
      <c r="D43" s="370" t="s">
        <v>238</v>
      </c>
      <c r="E43" s="371"/>
      <c r="F43" s="61"/>
      <c r="G43" s="334"/>
      <c r="H43" s="517"/>
      <c r="I43" s="520"/>
      <c r="J43" s="122"/>
      <c r="K43" s="122"/>
      <c r="L43" s="122"/>
      <c r="M43" s="372"/>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row>
    <row r="44" spans="1:83" ht="30" hidden="1" customHeight="1" thickBot="1">
      <c r="A44" s="326"/>
      <c r="B44" s="369"/>
      <c r="C44" s="629"/>
      <c r="D44" s="370" t="s">
        <v>189</v>
      </c>
      <c r="E44" s="371"/>
      <c r="F44" s="61"/>
      <c r="G44" s="334"/>
      <c r="H44" s="517"/>
      <c r="I44" s="520"/>
      <c r="J44" s="122"/>
      <c r="K44" s="122"/>
      <c r="L44" s="122"/>
      <c r="M44" s="372"/>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row>
    <row r="45" spans="1:83" ht="30" hidden="1" customHeight="1" thickBot="1">
      <c r="A45" s="326"/>
      <c r="B45" s="369"/>
      <c r="C45" s="630"/>
      <c r="D45" s="370" t="s">
        <v>393</v>
      </c>
      <c r="E45" s="371"/>
      <c r="F45" s="111"/>
      <c r="G45" s="334"/>
      <c r="H45" s="517"/>
      <c r="I45" s="520"/>
      <c r="J45" s="122"/>
      <c r="K45" s="122"/>
      <c r="L45" s="122"/>
      <c r="M45" s="372"/>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row>
    <row r="46" spans="1:83" ht="30" hidden="1" customHeight="1" thickBot="1">
      <c r="A46" s="326"/>
      <c r="B46" s="369"/>
      <c r="C46" s="279" t="s">
        <v>178</v>
      </c>
      <c r="D46" s="370" t="s">
        <v>37</v>
      </c>
      <c r="E46" s="371"/>
      <c r="F46" s="61"/>
      <c r="G46" s="334" t="str">
        <f>IF(F2="ne",IF(AND(F46="ano",F50=0),"Zadejte % zateplení",""),"")</f>
        <v/>
      </c>
      <c r="H46" s="514"/>
      <c r="I46" s="514"/>
      <c r="J46" s="121"/>
      <c r="K46" s="121"/>
      <c r="L46" s="122"/>
      <c r="M46" s="372"/>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row>
    <row r="47" spans="1:83" ht="30" hidden="1" customHeight="1" thickBot="1">
      <c r="A47" s="326"/>
      <c r="B47" s="369"/>
      <c r="C47" s="373"/>
      <c r="D47" s="370" t="s">
        <v>38</v>
      </c>
      <c r="E47" s="371"/>
      <c r="F47" s="61"/>
      <c r="G47" s="334"/>
      <c r="H47" s="514"/>
      <c r="I47" s="514"/>
      <c r="J47" s="121"/>
      <c r="K47" s="121"/>
      <c r="L47" s="122"/>
      <c r="M47" s="372"/>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row>
    <row r="48" spans="1:83" ht="30" hidden="1" customHeight="1" thickBot="1">
      <c r="A48" s="326"/>
      <c r="B48" s="369"/>
      <c r="C48" s="373"/>
      <c r="D48" s="370" t="s">
        <v>238</v>
      </c>
      <c r="E48" s="371"/>
      <c r="F48" s="61"/>
      <c r="G48" s="334"/>
      <c r="H48" s="514"/>
      <c r="I48" s="514"/>
      <c r="J48" s="121"/>
      <c r="K48" s="121"/>
      <c r="L48" s="122"/>
      <c r="M48" s="372"/>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row>
    <row r="49" spans="1:83" ht="30" hidden="1" customHeight="1" thickBot="1">
      <c r="A49" s="326"/>
      <c r="B49" s="369"/>
      <c r="C49" s="373"/>
      <c r="D49" s="370" t="s">
        <v>189</v>
      </c>
      <c r="E49" s="371"/>
      <c r="F49" s="61"/>
      <c r="G49" s="334"/>
      <c r="H49" s="514"/>
      <c r="I49" s="514"/>
      <c r="J49" s="121"/>
      <c r="K49" s="121"/>
      <c r="L49" s="122"/>
      <c r="M49" s="372"/>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row>
    <row r="50" spans="1:83" ht="30" hidden="1" customHeight="1" thickBot="1">
      <c r="A50" s="326"/>
      <c r="B50" s="369"/>
      <c r="C50" s="373"/>
      <c r="D50" s="370" t="s">
        <v>393</v>
      </c>
      <c r="E50" s="371"/>
      <c r="F50" s="111"/>
      <c r="G50" s="334"/>
      <c r="H50" s="514"/>
      <c r="I50" s="514"/>
      <c r="J50" s="121"/>
      <c r="K50" s="121"/>
      <c r="L50" s="122"/>
      <c r="M50" s="372"/>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row>
    <row r="51" spans="1:83" ht="30" hidden="1" customHeight="1" thickBot="1">
      <c r="A51" s="326"/>
      <c r="B51" s="369"/>
      <c r="C51" s="279" t="s">
        <v>395</v>
      </c>
      <c r="D51" s="370" t="s">
        <v>37</v>
      </c>
      <c r="E51" s="371"/>
      <c r="F51" s="61"/>
      <c r="G51" s="334" t="str">
        <f>IF(F7="ne",IF(AND(F51="ano",F55=0),"Zadejte % zateplení",""),"")</f>
        <v/>
      </c>
      <c r="H51" s="514"/>
      <c r="I51" s="514"/>
      <c r="J51" s="121"/>
      <c r="K51" s="121"/>
      <c r="L51" s="122"/>
      <c r="M51" s="372"/>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row>
    <row r="52" spans="1:83" ht="30" hidden="1" customHeight="1" thickBot="1">
      <c r="A52" s="326"/>
      <c r="B52" s="369"/>
      <c r="C52" s="373"/>
      <c r="D52" s="370" t="s">
        <v>38</v>
      </c>
      <c r="E52" s="371"/>
      <c r="F52" s="61"/>
      <c r="G52" s="334"/>
      <c r="H52" s="514"/>
      <c r="I52" s="514"/>
      <c r="J52" s="121"/>
      <c r="K52" s="121"/>
      <c r="L52" s="122"/>
      <c r="M52" s="372"/>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row>
    <row r="53" spans="1:83" ht="30" hidden="1" customHeight="1" thickBot="1">
      <c r="A53" s="326"/>
      <c r="B53" s="369"/>
      <c r="C53" s="373"/>
      <c r="D53" s="370" t="s">
        <v>238</v>
      </c>
      <c r="E53" s="371"/>
      <c r="F53" s="61"/>
      <c r="G53" s="334"/>
      <c r="H53" s="514"/>
      <c r="I53" s="514"/>
      <c r="J53" s="121"/>
      <c r="K53" s="121"/>
      <c r="L53" s="122"/>
      <c r="M53" s="372"/>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row>
    <row r="54" spans="1:83" ht="30" hidden="1" customHeight="1" thickBot="1">
      <c r="A54" s="326"/>
      <c r="B54" s="369"/>
      <c r="C54" s="373"/>
      <c r="D54" s="370" t="s">
        <v>189</v>
      </c>
      <c r="E54" s="371"/>
      <c r="F54" s="61"/>
      <c r="G54" s="334"/>
      <c r="H54" s="514"/>
      <c r="I54" s="514"/>
      <c r="J54" s="121"/>
      <c r="K54" s="121"/>
      <c r="L54" s="122"/>
      <c r="M54" s="372"/>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row>
    <row r="55" spans="1:83" ht="30" hidden="1" customHeight="1" thickBot="1">
      <c r="A55" s="326"/>
      <c r="B55" s="369"/>
      <c r="C55" s="373"/>
      <c r="D55" s="370" t="s">
        <v>393</v>
      </c>
      <c r="E55" s="371"/>
      <c r="F55" s="111"/>
      <c r="G55" s="334"/>
      <c r="H55" s="514"/>
      <c r="I55" s="514"/>
      <c r="J55" s="121"/>
      <c r="K55" s="121"/>
      <c r="L55" s="122"/>
      <c r="M55" s="372"/>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row>
    <row r="56" spans="1:83" s="326" customFormat="1" ht="57" customHeight="1" thickBot="1">
      <c r="B56" s="345"/>
      <c r="C56" s="346"/>
      <c r="D56" s="347"/>
      <c r="E56" s="347"/>
      <c r="F56" s="398"/>
      <c r="G56" s="334"/>
      <c r="H56" s="517"/>
      <c r="I56" s="520"/>
      <c r="J56" s="122"/>
      <c r="K56" s="122"/>
      <c r="L56" s="122"/>
      <c r="M56" s="329"/>
    </row>
    <row r="57" spans="1:83" ht="30" customHeight="1" thickBot="1">
      <c r="A57" s="326"/>
      <c r="B57" s="374" t="s">
        <v>731</v>
      </c>
      <c r="C57" s="349" t="s">
        <v>738</v>
      </c>
      <c r="D57" s="350"/>
      <c r="E57" s="350"/>
      <c r="F57" s="351"/>
      <c r="G57" s="375" t="s">
        <v>821</v>
      </c>
      <c r="H57" s="517"/>
      <c r="I57" s="520"/>
      <c r="J57" s="122"/>
      <c r="K57" s="122"/>
      <c r="L57" s="122"/>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row>
    <row r="58" spans="1:83" ht="27.75" customHeight="1" thickBot="1">
      <c r="A58" s="326"/>
      <c r="B58" s="376" t="s">
        <v>766</v>
      </c>
      <c r="C58" s="279" t="s">
        <v>509</v>
      </c>
      <c r="D58" s="631" t="s">
        <v>37</v>
      </c>
      <c r="E58" s="632"/>
      <c r="F58" s="62"/>
      <c r="G58" s="334"/>
      <c r="H58" s="514" t="b">
        <f>OR(ISBLANK(F58),F58="ne")</f>
        <v>1</v>
      </c>
      <c r="I58" s="514" t="b">
        <f>AND(F58="ano",ISBLANK(F62))</f>
        <v>0</v>
      </c>
      <c r="K58" s="377"/>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39"/>
      <c r="BN58" s="339"/>
      <c r="BO58" s="339"/>
      <c r="BP58" s="339"/>
      <c r="BQ58" s="339"/>
      <c r="BR58" s="339"/>
      <c r="BS58" s="339"/>
      <c r="BT58" s="339"/>
      <c r="BU58" s="339"/>
      <c r="BV58" s="339"/>
      <c r="BW58" s="339"/>
      <c r="BX58" s="339"/>
      <c r="BY58" s="339"/>
      <c r="BZ58" s="339"/>
      <c r="CA58" s="339"/>
      <c r="CB58" s="339"/>
      <c r="CC58" s="339"/>
      <c r="CD58" s="339"/>
      <c r="CE58" s="339"/>
    </row>
    <row r="59" spans="1:83" ht="30" customHeight="1" thickBot="1">
      <c r="A59" s="326"/>
      <c r="B59" s="378" t="s">
        <v>542</v>
      </c>
      <c r="C59" s="378"/>
      <c r="D59" s="631" t="s">
        <v>238</v>
      </c>
      <c r="E59" s="632"/>
      <c r="F59" s="61"/>
      <c r="G59" s="334" t="s">
        <v>827</v>
      </c>
      <c r="H59" s="518" t="b">
        <f>OR(ISBLANK(F58),F58="ne")</f>
        <v>1</v>
      </c>
      <c r="I59" s="520"/>
      <c r="J59" s="122"/>
      <c r="K59" s="377"/>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39"/>
      <c r="BN59" s="339"/>
      <c r="BO59" s="339"/>
      <c r="BP59" s="339"/>
      <c r="BQ59" s="339"/>
      <c r="BR59" s="339"/>
      <c r="BS59" s="339"/>
      <c r="BT59" s="339"/>
      <c r="BU59" s="339"/>
      <c r="BV59" s="339"/>
      <c r="BW59" s="339"/>
      <c r="BX59" s="339"/>
      <c r="BY59" s="339"/>
      <c r="BZ59" s="339"/>
      <c r="CA59" s="339"/>
      <c r="CB59" s="339"/>
      <c r="CC59" s="339"/>
      <c r="CD59" s="339"/>
      <c r="CE59" s="339"/>
    </row>
    <row r="60" spans="1:83" ht="30" customHeight="1" thickBot="1">
      <c r="A60" s="326"/>
      <c r="B60" s="378" t="s">
        <v>543</v>
      </c>
      <c r="C60" s="379"/>
      <c r="D60" s="631" t="s">
        <v>189</v>
      </c>
      <c r="E60" s="632"/>
      <c r="F60" s="61"/>
      <c r="G60" s="334" t="s">
        <v>819</v>
      </c>
      <c r="H60" s="518" t="b">
        <f>(ISBLANK(F59))</f>
        <v>1</v>
      </c>
      <c r="I60" s="520"/>
      <c r="J60" s="122"/>
      <c r="K60" s="377"/>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39"/>
      <c r="BN60" s="339"/>
      <c r="BO60" s="339"/>
      <c r="BP60" s="339"/>
      <c r="BQ60" s="339"/>
      <c r="BR60" s="339"/>
      <c r="BS60" s="339"/>
      <c r="BT60" s="339"/>
      <c r="BU60" s="339"/>
      <c r="BV60" s="339"/>
      <c r="BW60" s="339"/>
      <c r="BX60" s="339"/>
      <c r="BY60" s="339"/>
      <c r="BZ60" s="339"/>
      <c r="CA60" s="339"/>
      <c r="CB60" s="339"/>
      <c r="CC60" s="339"/>
      <c r="CD60" s="339"/>
      <c r="CE60" s="339"/>
    </row>
    <row r="61" spans="1:83" ht="30" customHeight="1" thickBot="1">
      <c r="A61" s="326"/>
      <c r="B61" s="378" t="s">
        <v>544</v>
      </c>
      <c r="C61" s="379"/>
      <c r="D61" s="631" t="s">
        <v>396</v>
      </c>
      <c r="E61" s="632"/>
      <c r="F61" s="61"/>
      <c r="G61" s="334"/>
      <c r="H61" s="518" t="b">
        <f>(ISBLANK(F60))</f>
        <v>1</v>
      </c>
      <c r="I61" s="520"/>
      <c r="J61" s="122"/>
      <c r="K61" s="377"/>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39"/>
      <c r="BN61" s="339"/>
      <c r="BO61" s="339"/>
      <c r="BP61" s="339"/>
      <c r="BQ61" s="339"/>
      <c r="BR61" s="339"/>
      <c r="BS61" s="339"/>
      <c r="BT61" s="339"/>
      <c r="BU61" s="339"/>
      <c r="BV61" s="339"/>
      <c r="BW61" s="339"/>
      <c r="BX61" s="339"/>
      <c r="BY61" s="339"/>
      <c r="BZ61" s="339"/>
      <c r="CA61" s="339"/>
      <c r="CB61" s="339"/>
      <c r="CC61" s="339"/>
      <c r="CD61" s="339"/>
      <c r="CE61" s="339"/>
    </row>
    <row r="62" spans="1:83" ht="42" customHeight="1" thickBot="1">
      <c r="A62" s="326"/>
      <c r="B62" s="378" t="s">
        <v>545</v>
      </c>
      <c r="C62" s="379"/>
      <c r="D62" s="631" t="s">
        <v>463</v>
      </c>
      <c r="E62" s="632"/>
      <c r="F62" s="61"/>
      <c r="G62" s="334" t="s">
        <v>820</v>
      </c>
      <c r="H62" s="518" t="b">
        <f>IF(ISBLANK(F61),TRUE,IF(parametry!$B$136=2,FALSE,TRUE))</f>
        <v>1</v>
      </c>
      <c r="I62" s="520"/>
      <c r="J62" s="122"/>
      <c r="K62" s="377"/>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39"/>
      <c r="BN62" s="339"/>
      <c r="BO62" s="339"/>
      <c r="BP62" s="339"/>
      <c r="BQ62" s="339"/>
      <c r="BR62" s="339"/>
      <c r="BS62" s="339"/>
      <c r="BT62" s="339"/>
      <c r="BU62" s="339"/>
      <c r="BV62" s="339"/>
      <c r="BW62" s="339"/>
      <c r="BX62" s="339"/>
      <c r="BY62" s="339"/>
      <c r="BZ62" s="339"/>
      <c r="CA62" s="339"/>
      <c r="CB62" s="339"/>
      <c r="CC62" s="339"/>
      <c r="CD62" s="339"/>
      <c r="CE62" s="339"/>
    </row>
    <row r="63" spans="1:83" ht="30" customHeight="1" thickBot="1">
      <c r="A63" s="326"/>
      <c r="B63" s="378" t="s">
        <v>546</v>
      </c>
      <c r="C63" s="379"/>
      <c r="D63" s="631" t="s">
        <v>431</v>
      </c>
      <c r="E63" s="632"/>
      <c r="F63" s="209" t="str">
        <f>IF(ISBLANK(F60),"",parametry!H186)</f>
        <v/>
      </c>
      <c r="G63" s="334"/>
      <c r="H63" s="519" t="b">
        <f>IF(ISBLANK(F61),TRUE,IF(parametry!$B$136=2,TRUE,FALSE))</f>
        <v>1</v>
      </c>
      <c r="I63" s="520"/>
      <c r="J63" s="122"/>
      <c r="K63" s="377"/>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39"/>
      <c r="BN63" s="339"/>
      <c r="BO63" s="339"/>
      <c r="BP63" s="339"/>
      <c r="BQ63" s="339"/>
      <c r="BR63" s="339"/>
      <c r="BS63" s="339"/>
      <c r="BT63" s="339"/>
      <c r="BU63" s="339"/>
      <c r="BV63" s="339"/>
      <c r="BW63" s="339"/>
      <c r="BX63" s="339"/>
      <c r="BY63" s="339"/>
      <c r="BZ63" s="339"/>
      <c r="CA63" s="339"/>
      <c r="CB63" s="339"/>
      <c r="CC63" s="339"/>
      <c r="CD63" s="339"/>
      <c r="CE63" s="339"/>
    </row>
    <row r="64" spans="1:83" ht="30" customHeight="1" thickBot="1">
      <c r="A64" s="326"/>
      <c r="B64" s="378" t="s">
        <v>547</v>
      </c>
      <c r="C64" s="379"/>
      <c r="D64" s="631" t="s">
        <v>454</v>
      </c>
      <c r="E64" s="632" t="e">
        <f>parametry!L186</f>
        <v>#N/A</v>
      </c>
      <c r="F64" s="210" t="str">
        <f>IF(ISBLANK(F60),"",parametry!K186)</f>
        <v/>
      </c>
      <c r="G64" s="334" t="s">
        <v>824</v>
      </c>
      <c r="H64" s="518" t="b">
        <f>IF(ISBLANK(F4),TRUE,IF(ISBLANK(parametry!$B$136),TRUE,IF(AND(OR(F58="ano",ISBLANK(F58)),parametry!$B$136=2,ISBLANK(F62)),TRUE,IF(AND(OR(F58="ano",ISBLANK(F58)),parametry!$B$136=1,ISBLANK(F61)),TRUE,FALSE))))</f>
        <v>1</v>
      </c>
      <c r="I64" s="520"/>
      <c r="J64" s="122"/>
      <c r="K64" s="377"/>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39"/>
      <c r="BN64" s="339"/>
      <c r="BO64" s="339"/>
      <c r="BP64" s="339"/>
      <c r="BQ64" s="339"/>
      <c r="BR64" s="339"/>
      <c r="BS64" s="339"/>
      <c r="BT64" s="339"/>
      <c r="BU64" s="339"/>
      <c r="BV64" s="339"/>
      <c r="BW64" s="339"/>
      <c r="BX64" s="339"/>
      <c r="BY64" s="339"/>
      <c r="BZ64" s="339"/>
      <c r="CA64" s="339"/>
      <c r="CB64" s="339"/>
      <c r="CC64" s="339"/>
      <c r="CD64" s="339"/>
      <c r="CE64" s="339"/>
    </row>
    <row r="65" spans="1:83" ht="30" customHeight="1" thickBot="1">
      <c r="A65" s="326"/>
      <c r="B65" s="380" t="s">
        <v>548</v>
      </c>
      <c r="C65" s="379"/>
      <c r="D65" s="631" t="s">
        <v>245</v>
      </c>
      <c r="E65" s="632"/>
      <c r="F65" s="210" t="str">
        <f>parametry!M186</f>
        <v/>
      </c>
      <c r="G65" s="334"/>
      <c r="I65" s="520"/>
      <c r="J65" s="122"/>
      <c r="K65" s="377"/>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39"/>
      <c r="BN65" s="339"/>
      <c r="BO65" s="339"/>
      <c r="BP65" s="339"/>
      <c r="BQ65" s="339"/>
      <c r="BR65" s="339"/>
      <c r="BS65" s="339"/>
      <c r="BT65" s="339"/>
      <c r="BU65" s="339"/>
      <c r="BV65" s="339"/>
      <c r="BW65" s="339"/>
      <c r="BX65" s="339"/>
      <c r="BY65" s="339"/>
      <c r="BZ65" s="339"/>
      <c r="CA65" s="339"/>
      <c r="CB65" s="339"/>
      <c r="CC65" s="339"/>
      <c r="CD65" s="339"/>
      <c r="CE65" s="339"/>
    </row>
    <row r="66" spans="1:83" ht="30" customHeight="1" thickBot="1">
      <c r="A66" s="326"/>
      <c r="B66" s="376" t="s">
        <v>767</v>
      </c>
      <c r="C66" s="279" t="s">
        <v>510</v>
      </c>
      <c r="D66" s="631" t="s">
        <v>37</v>
      </c>
      <c r="E66" s="632"/>
      <c r="F66" s="62"/>
      <c r="G66" s="334"/>
      <c r="H66" s="514" t="b">
        <f>IF(ISBLANK(F58),TRUE,IF(F58="ANO",IF(parametry!B136=1,ISBLANK(Zateplení!F61),ISBLANK(Zateplení!F62)),FALSE))</f>
        <v>1</v>
      </c>
      <c r="I66" s="514" t="b">
        <f>AND(F66="ano",ISBLANK(F70))</f>
        <v>0</v>
      </c>
      <c r="K66" s="377"/>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39"/>
      <c r="BN66" s="339"/>
      <c r="BO66" s="339"/>
      <c r="BP66" s="339"/>
      <c r="BQ66" s="339"/>
      <c r="BR66" s="339"/>
      <c r="BS66" s="339"/>
      <c r="BT66" s="339"/>
      <c r="BU66" s="339"/>
      <c r="BV66" s="339"/>
      <c r="BW66" s="339"/>
      <c r="BX66" s="339"/>
      <c r="BY66" s="339"/>
      <c r="BZ66" s="339"/>
      <c r="CA66" s="339"/>
      <c r="CB66" s="339"/>
      <c r="CC66" s="339"/>
      <c r="CD66" s="339"/>
      <c r="CE66" s="339"/>
    </row>
    <row r="67" spans="1:83" ht="30" customHeight="1" thickBot="1">
      <c r="A67" s="326"/>
      <c r="B67" s="378" t="s">
        <v>550</v>
      </c>
      <c r="C67" s="381"/>
      <c r="D67" s="631" t="s">
        <v>238</v>
      </c>
      <c r="E67" s="632"/>
      <c r="F67" s="61"/>
      <c r="G67" s="334" t="s">
        <v>828</v>
      </c>
      <c r="H67" s="518" t="b">
        <f>OR(ISBLANK(F66),F66="ne")</f>
        <v>1</v>
      </c>
      <c r="I67" s="514"/>
      <c r="J67" s="121"/>
      <c r="K67" s="377"/>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39"/>
      <c r="BN67" s="339"/>
      <c r="BO67" s="339"/>
      <c r="BP67" s="339"/>
      <c r="BQ67" s="339"/>
      <c r="BR67" s="339"/>
      <c r="BS67" s="339"/>
      <c r="BT67" s="339"/>
      <c r="BU67" s="339"/>
      <c r="BV67" s="339"/>
      <c r="BW67" s="339"/>
      <c r="BX67" s="339"/>
      <c r="BY67" s="339"/>
      <c r="BZ67" s="339"/>
      <c r="CA67" s="339"/>
      <c r="CB67" s="339"/>
      <c r="CC67" s="339"/>
      <c r="CD67" s="339"/>
      <c r="CE67" s="339"/>
    </row>
    <row r="68" spans="1:83" ht="30" customHeight="1" thickBot="1">
      <c r="A68" s="326"/>
      <c r="B68" s="378" t="s">
        <v>551</v>
      </c>
      <c r="C68" s="381"/>
      <c r="D68" s="631" t="s">
        <v>189</v>
      </c>
      <c r="E68" s="632"/>
      <c r="F68" s="61"/>
      <c r="G68" s="334" t="s">
        <v>819</v>
      </c>
      <c r="H68" s="518" t="b">
        <f>(ISBLANK(F67))</f>
        <v>1</v>
      </c>
      <c r="I68" s="514"/>
      <c r="J68" s="121"/>
      <c r="K68" s="377"/>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39"/>
      <c r="BN68" s="339"/>
      <c r="BO68" s="339"/>
      <c r="BP68" s="339"/>
      <c r="BQ68" s="339"/>
      <c r="BR68" s="339"/>
      <c r="BS68" s="339"/>
      <c r="BT68" s="339"/>
      <c r="BU68" s="339"/>
      <c r="BV68" s="339"/>
      <c r="BW68" s="339"/>
      <c r="BX68" s="339"/>
      <c r="BY68" s="339"/>
      <c r="BZ68" s="339"/>
      <c r="CA68" s="339"/>
      <c r="CB68" s="339"/>
      <c r="CC68" s="339"/>
      <c r="CD68" s="339"/>
      <c r="CE68" s="339"/>
    </row>
    <row r="69" spans="1:83" ht="30" customHeight="1" thickBot="1">
      <c r="A69" s="326"/>
      <c r="B69" s="378" t="s">
        <v>552</v>
      </c>
      <c r="C69" s="381"/>
      <c r="D69" s="631" t="s">
        <v>396</v>
      </c>
      <c r="E69" s="632"/>
      <c r="F69" s="61"/>
      <c r="G69" s="334"/>
      <c r="H69" s="518" t="b">
        <f>(ISBLANK(F68))</f>
        <v>1</v>
      </c>
      <c r="I69" s="514"/>
      <c r="J69" s="121"/>
      <c r="K69" s="377"/>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39"/>
      <c r="BN69" s="339"/>
      <c r="BO69" s="339"/>
      <c r="BP69" s="339"/>
      <c r="BQ69" s="339"/>
      <c r="BR69" s="339"/>
      <c r="BS69" s="339"/>
      <c r="BT69" s="339"/>
      <c r="BU69" s="339"/>
      <c r="BV69" s="339"/>
      <c r="BW69" s="339"/>
      <c r="BX69" s="339"/>
      <c r="BY69" s="339"/>
      <c r="BZ69" s="339"/>
      <c r="CA69" s="339"/>
      <c r="CB69" s="339"/>
      <c r="CC69" s="339"/>
      <c r="CD69" s="339"/>
      <c r="CE69" s="339"/>
    </row>
    <row r="70" spans="1:83" ht="30" customHeight="1" thickBot="1">
      <c r="A70" s="326"/>
      <c r="B70" s="378" t="s">
        <v>553</v>
      </c>
      <c r="C70" s="381"/>
      <c r="D70" s="631" t="s">
        <v>463</v>
      </c>
      <c r="E70" s="632"/>
      <c r="F70" s="61"/>
      <c r="G70" s="334" t="s">
        <v>820</v>
      </c>
      <c r="H70" s="518" t="b">
        <f>IF(ISBLANK(F69),TRUE,IF(parametry!$B$136=2,FALSE,TRUE))</f>
        <v>1</v>
      </c>
      <c r="I70" s="514"/>
      <c r="J70" s="121"/>
      <c r="K70" s="377"/>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39"/>
      <c r="BN70" s="339"/>
      <c r="BO70" s="339"/>
      <c r="BP70" s="339"/>
      <c r="BQ70" s="339"/>
      <c r="BR70" s="339"/>
      <c r="BS70" s="339"/>
      <c r="BT70" s="339"/>
      <c r="BU70" s="339"/>
      <c r="BV70" s="339"/>
      <c r="BW70" s="339"/>
      <c r="BX70" s="339"/>
      <c r="BY70" s="339"/>
      <c r="BZ70" s="339"/>
      <c r="CA70" s="339"/>
      <c r="CB70" s="339"/>
      <c r="CC70" s="339"/>
      <c r="CD70" s="339"/>
      <c r="CE70" s="339"/>
    </row>
    <row r="71" spans="1:83" ht="30" hidden="1" customHeight="1" thickBot="1">
      <c r="A71" s="326"/>
      <c r="B71" s="378" t="s">
        <v>554</v>
      </c>
      <c r="C71" s="381"/>
      <c r="D71" s="631" t="s">
        <v>431</v>
      </c>
      <c r="E71" s="632"/>
      <c r="F71" s="118" t="str">
        <f>IF(ISBLANK(F68),"",parametry!H187)</f>
        <v/>
      </c>
      <c r="G71" s="334"/>
      <c r="H71" s="519" t="b">
        <f>IF(ISBLANK(F69),TRUE,IF(parametry!$B$136=2,TRUE,FALSE))</f>
        <v>1</v>
      </c>
      <c r="I71" s="514"/>
      <c r="J71" s="121"/>
      <c r="K71" s="377"/>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39"/>
      <c r="BN71" s="339"/>
      <c r="BO71" s="339"/>
      <c r="BP71" s="339"/>
      <c r="BQ71" s="339"/>
      <c r="BR71" s="339"/>
      <c r="BS71" s="339"/>
      <c r="BT71" s="339"/>
      <c r="BU71" s="339"/>
      <c r="BV71" s="339"/>
      <c r="BW71" s="339"/>
      <c r="BX71" s="339"/>
      <c r="BY71" s="339"/>
      <c r="BZ71" s="339"/>
      <c r="CA71" s="339"/>
      <c r="CB71" s="339"/>
      <c r="CC71" s="339"/>
      <c r="CD71" s="339"/>
      <c r="CE71" s="339"/>
    </row>
    <row r="72" spans="1:83" ht="30" customHeight="1" thickBot="1">
      <c r="A72" s="326"/>
      <c r="B72" s="378" t="s">
        <v>555</v>
      </c>
      <c r="C72" s="381"/>
      <c r="D72" s="370" t="s">
        <v>454</v>
      </c>
      <c r="E72" s="371" t="e">
        <f>parametry!L187</f>
        <v>#N/A</v>
      </c>
      <c r="F72" s="118" t="str">
        <f>IF(ISBLANK(F68),"",parametry!K187)</f>
        <v/>
      </c>
      <c r="G72" s="334" t="s">
        <v>824</v>
      </c>
      <c r="H72" s="518" t="b">
        <f>IF(ISBLANK(F4),TRUE,IF(ISBLANK(parametry!$B$136),TRUE,IF(AND(OR(F66="ano",ISBLANK(F66)),parametry!$B$136=2,ISBLANK(F70)),TRUE,IF(AND(OR(F66="ano",ISBLANK(F66)),parametry!$B$136=1,ISBLANK(F69)),TRUE,FALSE))))</f>
        <v>1</v>
      </c>
      <c r="I72" s="514"/>
      <c r="J72" s="121"/>
      <c r="K72" s="377"/>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39"/>
      <c r="BN72" s="339"/>
      <c r="BO72" s="339"/>
      <c r="BP72" s="339"/>
      <c r="BQ72" s="339"/>
      <c r="BR72" s="339"/>
      <c r="BS72" s="339"/>
      <c r="BT72" s="339"/>
      <c r="BU72" s="339"/>
      <c r="BV72" s="339"/>
      <c r="BW72" s="339"/>
      <c r="BX72" s="339"/>
      <c r="BY72" s="339"/>
      <c r="BZ72" s="339"/>
      <c r="CA72" s="339"/>
      <c r="CB72" s="339"/>
      <c r="CC72" s="339"/>
      <c r="CD72" s="339"/>
      <c r="CE72" s="339"/>
    </row>
    <row r="73" spans="1:83" ht="30" customHeight="1" thickBot="1">
      <c r="A73" s="326"/>
      <c r="B73" s="380" t="s">
        <v>556</v>
      </c>
      <c r="C73" s="382"/>
      <c r="D73" s="631" t="s">
        <v>245</v>
      </c>
      <c r="E73" s="632"/>
      <c r="F73" s="118" t="str">
        <f>parametry!M187</f>
        <v/>
      </c>
      <c r="G73" s="334" t="str">
        <f>IF(F73="Konstrukce nesplňuje požadavky programu","Pozn. Upravte tloušťku nebo typ zateplení nebo součinitel prostupu tepla konstrukce","")</f>
        <v/>
      </c>
      <c r="I73" s="514"/>
      <c r="J73" s="121"/>
      <c r="K73" s="377"/>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39"/>
      <c r="BN73" s="339"/>
      <c r="BO73" s="339"/>
      <c r="BP73" s="339"/>
      <c r="BQ73" s="339"/>
      <c r="BR73" s="339"/>
      <c r="BS73" s="339"/>
      <c r="BT73" s="339"/>
      <c r="BU73" s="339"/>
      <c r="BV73" s="339"/>
      <c r="BW73" s="339"/>
      <c r="BX73" s="339"/>
      <c r="BY73" s="339"/>
      <c r="BZ73" s="339"/>
      <c r="CA73" s="339"/>
      <c r="CB73" s="339"/>
      <c r="CC73" s="339"/>
      <c r="CD73" s="339"/>
      <c r="CE73" s="339"/>
    </row>
    <row r="74" spans="1:83" ht="30" customHeight="1" thickBot="1">
      <c r="A74" s="326"/>
      <c r="B74" s="376" t="s">
        <v>768</v>
      </c>
      <c r="C74" s="279" t="s">
        <v>511</v>
      </c>
      <c r="D74" s="631" t="s">
        <v>37</v>
      </c>
      <c r="E74" s="632"/>
      <c r="F74" s="61"/>
      <c r="G74" s="334"/>
      <c r="H74" s="514" t="b">
        <f>OR(IF(ISBLANK(F66),TRUE,NOT(F66="ne")),IF(parametry!B136=1,ISBLANK(Zateplení!F69),ISBLANK(Zateplení!F70))) =IF(ISBLANK(F66),TRUE,IF(F66="ANO",IF(parametry!B136=1,ISBLANK(Zateplení!F69),ISBLANK(Zateplení!F70)),FALSE))</f>
        <v>1</v>
      </c>
      <c r="I74" s="514" t="b">
        <f>AND(F74="ano",ISBLANK(F78))</f>
        <v>0</v>
      </c>
      <c r="K74" s="377"/>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39"/>
      <c r="BN74" s="339"/>
      <c r="BO74" s="339"/>
      <c r="BP74" s="339"/>
      <c r="BQ74" s="339"/>
      <c r="BR74" s="339"/>
      <c r="BS74" s="339"/>
      <c r="BT74" s="339"/>
      <c r="BU74" s="339"/>
      <c r="BV74" s="339"/>
      <c r="BW74" s="339"/>
      <c r="BX74" s="339"/>
      <c r="BY74" s="339"/>
      <c r="BZ74" s="339"/>
      <c r="CA74" s="339"/>
      <c r="CB74" s="339"/>
      <c r="CC74" s="339"/>
      <c r="CD74" s="339"/>
      <c r="CE74" s="339"/>
    </row>
    <row r="75" spans="1:83" ht="30" customHeight="1" thickBot="1">
      <c r="A75" s="326"/>
      <c r="B75" s="378" t="s">
        <v>558</v>
      </c>
      <c r="C75" s="381"/>
      <c r="D75" s="631" t="s">
        <v>238</v>
      </c>
      <c r="E75" s="632"/>
      <c r="F75" s="61"/>
      <c r="G75" s="334" t="s">
        <v>828</v>
      </c>
      <c r="H75" s="518" t="b">
        <f>OR(ISBLANK(F74),F74="ne")</f>
        <v>1</v>
      </c>
      <c r="I75" s="514"/>
      <c r="J75" s="121"/>
      <c r="K75" s="377"/>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39"/>
      <c r="BN75" s="339"/>
      <c r="BO75" s="339"/>
      <c r="BP75" s="339"/>
      <c r="BQ75" s="339"/>
      <c r="BR75" s="339"/>
      <c r="BS75" s="339"/>
      <c r="BT75" s="339"/>
      <c r="BU75" s="339"/>
      <c r="BV75" s="339"/>
      <c r="BW75" s="339"/>
      <c r="BX75" s="339"/>
      <c r="BY75" s="339"/>
      <c r="BZ75" s="339"/>
      <c r="CA75" s="339"/>
      <c r="CB75" s="339"/>
      <c r="CC75" s="339"/>
      <c r="CD75" s="339"/>
      <c r="CE75" s="339"/>
    </row>
    <row r="76" spans="1:83" ht="30" customHeight="1" thickBot="1">
      <c r="A76" s="326"/>
      <c r="B76" s="378" t="s">
        <v>559</v>
      </c>
      <c r="C76" s="381"/>
      <c r="D76" s="631" t="s">
        <v>189</v>
      </c>
      <c r="E76" s="632"/>
      <c r="F76" s="61"/>
      <c r="G76" s="334" t="s">
        <v>819</v>
      </c>
      <c r="H76" s="518" t="b">
        <f>(ISBLANK(F75))</f>
        <v>1</v>
      </c>
      <c r="I76" s="514"/>
      <c r="J76" s="121"/>
      <c r="K76" s="377"/>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39"/>
      <c r="BN76" s="339"/>
      <c r="BO76" s="339"/>
      <c r="BP76" s="339"/>
      <c r="BQ76" s="339"/>
      <c r="BR76" s="339"/>
      <c r="BS76" s="339"/>
      <c r="BT76" s="339"/>
      <c r="BU76" s="339"/>
      <c r="BV76" s="339"/>
      <c r="BW76" s="339"/>
      <c r="BX76" s="339"/>
      <c r="BY76" s="339"/>
      <c r="BZ76" s="339"/>
      <c r="CA76" s="339"/>
      <c r="CB76" s="339"/>
      <c r="CC76" s="339"/>
      <c r="CD76" s="339"/>
      <c r="CE76" s="339"/>
    </row>
    <row r="77" spans="1:83" ht="30" customHeight="1" thickBot="1">
      <c r="A77" s="326"/>
      <c r="B77" s="378" t="s">
        <v>560</v>
      </c>
      <c r="C77" s="381"/>
      <c r="D77" s="631" t="s">
        <v>396</v>
      </c>
      <c r="E77" s="632"/>
      <c r="F77" s="61"/>
      <c r="G77" s="334"/>
      <c r="H77" s="518" t="b">
        <f>(ISBLANK(F76))</f>
        <v>1</v>
      </c>
      <c r="I77" s="514"/>
      <c r="J77" s="121"/>
      <c r="K77" s="377"/>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39"/>
      <c r="BN77" s="339"/>
      <c r="BO77" s="339"/>
      <c r="BP77" s="339"/>
      <c r="BQ77" s="339"/>
      <c r="BR77" s="339"/>
      <c r="BS77" s="339"/>
      <c r="BT77" s="339"/>
      <c r="BU77" s="339"/>
      <c r="BV77" s="339"/>
      <c r="BW77" s="339"/>
      <c r="BX77" s="339"/>
      <c r="BY77" s="339"/>
      <c r="BZ77" s="339"/>
      <c r="CA77" s="339"/>
      <c r="CB77" s="339"/>
      <c r="CC77" s="339"/>
      <c r="CD77" s="339"/>
      <c r="CE77" s="339"/>
    </row>
    <row r="78" spans="1:83" ht="30" customHeight="1" thickBot="1">
      <c r="A78" s="326"/>
      <c r="B78" s="378" t="s">
        <v>561</v>
      </c>
      <c r="C78" s="381"/>
      <c r="D78" s="631" t="s">
        <v>463</v>
      </c>
      <c r="E78" s="632"/>
      <c r="F78" s="119"/>
      <c r="G78" s="334" t="s">
        <v>822</v>
      </c>
      <c r="H78" s="518" t="b">
        <f>IF(ISBLANK(F77),TRUE,IF(parametry!$B$136=2,FALSE,TRUE))</f>
        <v>1</v>
      </c>
      <c r="I78" s="514"/>
      <c r="J78" s="121"/>
      <c r="K78" s="377"/>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39"/>
      <c r="BN78" s="339"/>
      <c r="BO78" s="339"/>
      <c r="BP78" s="339"/>
      <c r="BQ78" s="339"/>
      <c r="BR78" s="339"/>
      <c r="BS78" s="339"/>
      <c r="BT78" s="339"/>
      <c r="BU78" s="339"/>
      <c r="BV78" s="339"/>
      <c r="BW78" s="339"/>
      <c r="BX78" s="339"/>
      <c r="BY78" s="339"/>
      <c r="BZ78" s="339"/>
      <c r="CA78" s="339"/>
      <c r="CB78" s="339"/>
      <c r="CC78" s="339"/>
      <c r="CD78" s="339"/>
      <c r="CE78" s="339"/>
    </row>
    <row r="79" spans="1:83" ht="30" hidden="1" customHeight="1" thickBot="1">
      <c r="A79" s="326"/>
      <c r="B79" s="378" t="s">
        <v>562</v>
      </c>
      <c r="C79" s="381"/>
      <c r="D79" s="631" t="s">
        <v>431</v>
      </c>
      <c r="E79" s="632"/>
      <c r="F79" s="118" t="str">
        <f>IF(ISBLANK(F76),"",parametry!H188)</f>
        <v/>
      </c>
      <c r="G79" s="334"/>
      <c r="H79" s="519" t="b">
        <f>IF(ISBLANK(F77),TRUE,IF(parametry!$B$136=2,TRUE,FALSE))</f>
        <v>1</v>
      </c>
      <c r="I79" s="514"/>
      <c r="J79" s="121"/>
      <c r="K79" s="377"/>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39"/>
      <c r="BN79" s="339"/>
      <c r="BO79" s="339"/>
      <c r="BP79" s="339"/>
      <c r="BQ79" s="339"/>
      <c r="BR79" s="339"/>
      <c r="BS79" s="339"/>
      <c r="BT79" s="339"/>
      <c r="BU79" s="339"/>
      <c r="BV79" s="339"/>
      <c r="BW79" s="339"/>
      <c r="BX79" s="339"/>
      <c r="BY79" s="339"/>
      <c r="BZ79" s="339"/>
      <c r="CA79" s="339"/>
      <c r="CB79" s="339"/>
      <c r="CC79" s="339"/>
      <c r="CD79" s="339"/>
      <c r="CE79" s="339"/>
    </row>
    <row r="80" spans="1:83" ht="30" customHeight="1" thickBot="1">
      <c r="A80" s="326"/>
      <c r="B80" s="378" t="s">
        <v>563</v>
      </c>
      <c r="C80" s="381"/>
      <c r="D80" s="370" t="s">
        <v>432</v>
      </c>
      <c r="E80" s="371" t="e">
        <f>parametry!L188</f>
        <v>#N/A</v>
      </c>
      <c r="F80" s="118" t="str">
        <f>IF(ISBLANK(F76),"",parametry!K188)</f>
        <v/>
      </c>
      <c r="G80" s="334" t="s">
        <v>824</v>
      </c>
      <c r="H80" s="518" t="b">
        <f>IF(ISBLANK(F4),TRUE,IF(ISBLANK(parametry!$B$136),TRUE,IF(AND(OR(F74="ano",ISBLANK(F74)),parametry!$B$136=2,ISBLANK(F78)),TRUE,IF(AND(OR(F74="ano",ISBLANK(F74)),parametry!$B$136=1,ISBLANK(F77)),TRUE,FALSE))))</f>
        <v>1</v>
      </c>
      <c r="I80" s="514"/>
      <c r="J80" s="121"/>
      <c r="K80" s="377"/>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39"/>
      <c r="BN80" s="339"/>
      <c r="BO80" s="339"/>
      <c r="BP80" s="339"/>
      <c r="BQ80" s="339"/>
      <c r="BR80" s="339"/>
      <c r="BS80" s="339"/>
      <c r="BT80" s="339"/>
      <c r="BU80" s="339"/>
      <c r="BV80" s="339"/>
      <c r="BW80" s="339"/>
      <c r="BX80" s="339"/>
      <c r="BY80" s="339"/>
      <c r="BZ80" s="339"/>
      <c r="CA80" s="339"/>
      <c r="CB80" s="339"/>
      <c r="CC80" s="339"/>
      <c r="CD80" s="339"/>
      <c r="CE80" s="339"/>
    </row>
    <row r="81" spans="1:83" ht="30" customHeight="1" thickBot="1">
      <c r="A81" s="326"/>
      <c r="B81" s="380" t="s">
        <v>564</v>
      </c>
      <c r="C81" s="382"/>
      <c r="D81" s="631" t="s">
        <v>245</v>
      </c>
      <c r="E81" s="632"/>
      <c r="F81" s="118" t="str">
        <f>parametry!M188</f>
        <v/>
      </c>
      <c r="G81" s="334" t="str">
        <f>IF(F81="Konstrukce nesplňuje požadavky programu","Pozn. Upravte tloušťku nebo typ zateplení nebo součinitel prostupu tepla konstrukce","")</f>
        <v/>
      </c>
      <c r="I81" s="514"/>
      <c r="J81" s="121"/>
      <c r="K81" s="377"/>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39"/>
      <c r="BN81" s="339"/>
      <c r="BO81" s="339"/>
      <c r="BP81" s="339"/>
      <c r="BQ81" s="339"/>
      <c r="BR81" s="339"/>
      <c r="BS81" s="339"/>
      <c r="BT81" s="339"/>
      <c r="BU81" s="339"/>
      <c r="BV81" s="339"/>
      <c r="BW81" s="339"/>
      <c r="BX81" s="339"/>
      <c r="BY81" s="339"/>
      <c r="BZ81" s="339"/>
      <c r="CA81" s="339"/>
      <c r="CB81" s="339"/>
      <c r="CC81" s="339"/>
      <c r="CD81" s="339"/>
      <c r="CE81" s="339"/>
    </row>
    <row r="82" spans="1:83" ht="30" customHeight="1" thickBot="1">
      <c r="A82" s="326"/>
      <c r="B82" s="376" t="s">
        <v>769</v>
      </c>
      <c r="C82" s="279" t="s">
        <v>739</v>
      </c>
      <c r="D82" s="631" t="s">
        <v>37</v>
      </c>
      <c r="E82" s="632"/>
      <c r="F82" s="62"/>
      <c r="G82" s="334"/>
      <c r="H82" s="514" t="b">
        <f>IF(ISBLANK(F74),TRUE,IF(F74="ANO",IF(parametry!B136=1,ISBLANK(Zateplení!F77),ISBLANK(Zateplení!F78)),FALSE))</f>
        <v>1</v>
      </c>
      <c r="I82" s="514" t="b">
        <f>AND(F82="ano",ISBLANK(F85))</f>
        <v>0</v>
      </c>
      <c r="K82" s="377"/>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39"/>
      <c r="BN82" s="339"/>
      <c r="BO82" s="339"/>
      <c r="BP82" s="339"/>
      <c r="BQ82" s="339"/>
      <c r="BR82" s="339"/>
      <c r="BS82" s="339"/>
      <c r="BT82" s="339"/>
      <c r="BU82" s="339"/>
      <c r="BV82" s="339"/>
      <c r="BW82" s="339"/>
      <c r="BX82" s="339"/>
      <c r="BY82" s="339"/>
      <c r="BZ82" s="339"/>
      <c r="CA82" s="339"/>
      <c r="CB82" s="339"/>
      <c r="CC82" s="339"/>
      <c r="CD82" s="339"/>
      <c r="CE82" s="339"/>
    </row>
    <row r="83" spans="1:83" ht="30" customHeight="1" thickBot="1">
      <c r="A83" s="326"/>
      <c r="B83" s="378" t="s">
        <v>566</v>
      </c>
      <c r="C83" s="381"/>
      <c r="D83" s="631" t="s">
        <v>39</v>
      </c>
      <c r="E83" s="632"/>
      <c r="F83" s="61"/>
      <c r="G83" s="334" t="s">
        <v>825</v>
      </c>
      <c r="H83" s="518" t="b">
        <f>OR(ISBLANK(F82),F82="ne")</f>
        <v>1</v>
      </c>
      <c r="I83" s="514"/>
      <c r="J83" s="121"/>
      <c r="K83" s="377"/>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39"/>
      <c r="BN83" s="339"/>
      <c r="BO83" s="339"/>
      <c r="BP83" s="339"/>
      <c r="BQ83" s="339"/>
      <c r="BR83" s="339"/>
      <c r="BS83" s="339"/>
      <c r="BT83" s="339"/>
      <c r="BU83" s="339"/>
      <c r="BV83" s="339"/>
      <c r="BW83" s="339"/>
      <c r="BX83" s="339"/>
      <c r="BY83" s="339"/>
      <c r="BZ83" s="339"/>
      <c r="CA83" s="339"/>
      <c r="CB83" s="339"/>
      <c r="CC83" s="339"/>
      <c r="CD83" s="339"/>
      <c r="CE83" s="339"/>
    </row>
    <row r="84" spans="1:83" ht="30" customHeight="1" thickBot="1">
      <c r="A84" s="326"/>
      <c r="B84" s="378" t="s">
        <v>567</v>
      </c>
      <c r="C84" s="381"/>
      <c r="D84" s="631" t="s">
        <v>436</v>
      </c>
      <c r="E84" s="632"/>
      <c r="F84" s="61"/>
      <c r="G84" s="334"/>
      <c r="H84" s="518" t="b">
        <f>(ISBLANK(F83))</f>
        <v>1</v>
      </c>
      <c r="I84" s="514"/>
      <c r="J84" s="121"/>
      <c r="K84" s="377"/>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29"/>
      <c r="BL84" s="329"/>
      <c r="BM84" s="339"/>
      <c r="BN84" s="339"/>
      <c r="BO84" s="339"/>
      <c r="BP84" s="339"/>
      <c r="BQ84" s="339"/>
      <c r="BR84" s="339"/>
      <c r="BS84" s="339"/>
      <c r="BT84" s="339"/>
      <c r="BU84" s="339"/>
      <c r="BV84" s="339"/>
      <c r="BW84" s="339"/>
      <c r="BX84" s="339"/>
      <c r="BY84" s="339"/>
      <c r="BZ84" s="339"/>
      <c r="CA84" s="339"/>
      <c r="CB84" s="339"/>
      <c r="CC84" s="339"/>
      <c r="CD84" s="339"/>
      <c r="CE84" s="339"/>
    </row>
    <row r="85" spans="1:83" ht="30" customHeight="1" thickBot="1">
      <c r="A85" s="326"/>
      <c r="B85" s="378" t="s">
        <v>568</v>
      </c>
      <c r="C85" s="381"/>
      <c r="D85" s="631" t="s">
        <v>462</v>
      </c>
      <c r="E85" s="632"/>
      <c r="F85" s="61"/>
      <c r="G85" s="334"/>
      <c r="H85" s="518" t="b">
        <f>(ISBLANK(F84))</f>
        <v>1</v>
      </c>
      <c r="I85" s="514"/>
      <c r="J85" s="121"/>
      <c r="K85" s="377"/>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329"/>
      <c r="BJ85" s="329"/>
      <c r="BK85" s="329"/>
      <c r="BL85" s="329"/>
      <c r="BM85" s="339"/>
      <c r="BN85" s="339"/>
      <c r="BO85" s="339"/>
      <c r="BP85" s="339"/>
      <c r="BQ85" s="339"/>
      <c r="BR85" s="339"/>
      <c r="BS85" s="339"/>
      <c r="BT85" s="339"/>
      <c r="BU85" s="339"/>
      <c r="BV85" s="339"/>
      <c r="BW85" s="339"/>
      <c r="BX85" s="339"/>
      <c r="BY85" s="339"/>
      <c r="BZ85" s="339"/>
      <c r="CA85" s="339"/>
      <c r="CB85" s="339"/>
      <c r="CC85" s="339"/>
      <c r="CD85" s="339"/>
      <c r="CE85" s="339"/>
    </row>
    <row r="86" spans="1:83" ht="30" customHeight="1" thickBot="1">
      <c r="A86" s="326"/>
      <c r="B86" s="378" t="s">
        <v>569</v>
      </c>
      <c r="C86" s="379"/>
      <c r="D86" s="370" t="s">
        <v>432</v>
      </c>
      <c r="E86" s="371" t="e">
        <f>parametry!L189</f>
        <v>#N/A</v>
      </c>
      <c r="F86" s="116" t="str">
        <f>IF(ISBLANK(F85),"",parametry!K189)</f>
        <v/>
      </c>
      <c r="G86" s="334" t="s">
        <v>824</v>
      </c>
      <c r="H86" s="518" t="b">
        <f>IF(AND(OR(F82="ano",ISBLANK(F82)),ISBLANK(F85)),TRUE,FALSE)</f>
        <v>1</v>
      </c>
      <c r="I86" s="514"/>
      <c r="J86" s="121"/>
      <c r="K86" s="377"/>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39"/>
      <c r="BN86" s="339"/>
      <c r="BO86" s="339"/>
      <c r="BP86" s="339"/>
      <c r="BQ86" s="339"/>
      <c r="BR86" s="339"/>
      <c r="BS86" s="339"/>
      <c r="BT86" s="339"/>
      <c r="BU86" s="339"/>
      <c r="BV86" s="339"/>
      <c r="BW86" s="339"/>
      <c r="BX86" s="339"/>
      <c r="BY86" s="339"/>
      <c r="BZ86" s="339"/>
      <c r="CA86" s="339"/>
      <c r="CB86" s="339"/>
      <c r="CC86" s="339"/>
      <c r="CD86" s="339"/>
      <c r="CE86" s="339"/>
    </row>
    <row r="87" spans="1:83" ht="30" customHeight="1" thickBot="1">
      <c r="A87" s="326"/>
      <c r="B87" s="380" t="s">
        <v>570</v>
      </c>
      <c r="C87" s="383"/>
      <c r="D87" s="631" t="s">
        <v>245</v>
      </c>
      <c r="E87" s="632"/>
      <c r="F87" s="118" t="str">
        <f>parametry!M189</f>
        <v/>
      </c>
      <c r="G87" s="334" t="str">
        <f>IF(F87="Konstrukce nesplňuje požadavky programu","Pozn. Upravte tloušťku nebo typ zateplení nebo součinitel prostupu tepla konstrukce","")</f>
        <v/>
      </c>
      <c r="I87" s="520"/>
      <c r="J87" s="122"/>
      <c r="K87" s="377"/>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39"/>
      <c r="BN87" s="339"/>
      <c r="BO87" s="339"/>
      <c r="BP87" s="339"/>
      <c r="BQ87" s="339"/>
      <c r="BR87" s="339"/>
      <c r="BS87" s="339"/>
      <c r="BT87" s="339"/>
      <c r="BU87" s="339"/>
      <c r="BV87" s="339"/>
      <c r="BW87" s="339"/>
      <c r="BX87" s="339"/>
      <c r="BY87" s="339"/>
      <c r="BZ87" s="339"/>
      <c r="CA87" s="339"/>
      <c r="CB87" s="339"/>
      <c r="CC87" s="339"/>
      <c r="CD87" s="339"/>
      <c r="CE87" s="339"/>
    </row>
    <row r="88" spans="1:83" ht="30" customHeight="1" thickBot="1">
      <c r="A88" s="326"/>
      <c r="B88" s="376" t="s">
        <v>770</v>
      </c>
      <c r="C88" s="279" t="s">
        <v>512</v>
      </c>
      <c r="D88" s="631" t="s">
        <v>37</v>
      </c>
      <c r="E88" s="632"/>
      <c r="F88" s="62"/>
      <c r="G88" s="334"/>
      <c r="H88" s="514" t="b">
        <f>IF(ISBLANK(F88),TRUE,IF(F88="ANO",IF(parametry!B136=1,ISBLANK(Zateplení!F83),ISBLANK(Zateplení!F84)),FALSE))</f>
        <v>1</v>
      </c>
      <c r="I88" s="514" t="b">
        <f>AND(F88="ano",ISBLANK(F91))</f>
        <v>0</v>
      </c>
      <c r="K88" s="377"/>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39"/>
      <c r="BN88" s="339"/>
      <c r="BO88" s="339"/>
      <c r="BP88" s="339"/>
      <c r="BQ88" s="339"/>
      <c r="BR88" s="339"/>
      <c r="BS88" s="339"/>
      <c r="BT88" s="339"/>
      <c r="BU88" s="339"/>
      <c r="BV88" s="339"/>
      <c r="BW88" s="339"/>
      <c r="BX88" s="339"/>
      <c r="BY88" s="339"/>
      <c r="BZ88" s="339"/>
      <c r="CA88" s="339"/>
      <c r="CB88" s="339"/>
      <c r="CC88" s="339"/>
      <c r="CD88" s="339"/>
      <c r="CE88" s="339"/>
    </row>
    <row r="89" spans="1:83" ht="30" customHeight="1" thickBot="1">
      <c r="A89" s="326"/>
      <c r="B89" s="378" t="s">
        <v>572</v>
      </c>
      <c r="C89" s="381"/>
      <c r="D89" s="631" t="s">
        <v>588</v>
      </c>
      <c r="E89" s="632"/>
      <c r="F89" s="61"/>
      <c r="G89" s="334" t="s">
        <v>826</v>
      </c>
      <c r="H89" s="518" t="b">
        <f>OR(ISBLANK(F88),F88="ne")</f>
        <v>1</v>
      </c>
      <c r="I89" s="514"/>
      <c r="K89" s="377"/>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39"/>
      <c r="BN89" s="339"/>
      <c r="BO89" s="339"/>
      <c r="BP89" s="339"/>
      <c r="BQ89" s="339"/>
      <c r="BR89" s="339"/>
      <c r="BS89" s="339"/>
      <c r="BT89" s="339"/>
      <c r="BU89" s="339"/>
      <c r="BV89" s="339"/>
      <c r="BW89" s="339"/>
      <c r="BX89" s="339"/>
      <c r="BY89" s="339"/>
      <c r="BZ89" s="339"/>
      <c r="CA89" s="339"/>
      <c r="CB89" s="339"/>
      <c r="CC89" s="339"/>
      <c r="CD89" s="339"/>
      <c r="CE89" s="339"/>
    </row>
    <row r="90" spans="1:83" ht="30" customHeight="1" thickBot="1">
      <c r="A90" s="326"/>
      <c r="B90" s="378" t="s">
        <v>573</v>
      </c>
      <c r="C90" s="381"/>
      <c r="D90" s="631" t="s">
        <v>435</v>
      </c>
      <c r="E90" s="632"/>
      <c r="F90" s="61"/>
      <c r="G90" s="334"/>
      <c r="H90" s="518" t="b">
        <f>(ISBLANK(F89))</f>
        <v>1</v>
      </c>
      <c r="I90" s="514"/>
      <c r="K90" s="377"/>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39"/>
      <c r="BN90" s="339"/>
      <c r="BO90" s="339"/>
      <c r="BP90" s="339"/>
      <c r="BQ90" s="339"/>
      <c r="BR90" s="339"/>
      <c r="BS90" s="339"/>
      <c r="BT90" s="339"/>
      <c r="BU90" s="339"/>
      <c r="BV90" s="339"/>
      <c r="BW90" s="339"/>
      <c r="BX90" s="339"/>
      <c r="BY90" s="339"/>
      <c r="BZ90" s="339"/>
      <c r="CA90" s="339"/>
      <c r="CB90" s="339"/>
      <c r="CC90" s="339"/>
      <c r="CD90" s="339"/>
      <c r="CE90" s="339"/>
    </row>
    <row r="91" spans="1:83" ht="30" customHeight="1" thickBot="1">
      <c r="A91" s="326"/>
      <c r="B91" s="378" t="s">
        <v>574</v>
      </c>
      <c r="C91" s="381"/>
      <c r="D91" s="631" t="s">
        <v>433</v>
      </c>
      <c r="E91" s="632"/>
      <c r="F91" s="61"/>
      <c r="G91" s="334"/>
      <c r="H91" s="518" t="b">
        <f>(ISBLANK(F90))</f>
        <v>1</v>
      </c>
      <c r="I91" s="514"/>
      <c r="K91" s="377"/>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39"/>
      <c r="BN91" s="339"/>
      <c r="BO91" s="339"/>
      <c r="BP91" s="339"/>
      <c r="BQ91" s="339"/>
      <c r="BR91" s="339"/>
      <c r="BS91" s="339"/>
      <c r="BT91" s="339"/>
      <c r="BU91" s="339"/>
      <c r="BV91" s="339"/>
      <c r="BW91" s="339"/>
      <c r="BX91" s="339"/>
      <c r="BY91" s="339"/>
      <c r="BZ91" s="339"/>
      <c r="CA91" s="339"/>
      <c r="CB91" s="339"/>
      <c r="CC91" s="339"/>
      <c r="CD91" s="339"/>
      <c r="CE91" s="339"/>
    </row>
    <row r="92" spans="1:83" ht="30" customHeight="1" thickBot="1">
      <c r="A92" s="326"/>
      <c r="B92" s="378" t="s">
        <v>575</v>
      </c>
      <c r="C92" s="379"/>
      <c r="D92" s="370" t="s">
        <v>432</v>
      </c>
      <c r="E92" s="371" t="e">
        <f>parametry!L190</f>
        <v>#N/A</v>
      </c>
      <c r="F92" s="116" t="str">
        <f>IF(ISBLANK(F91),"",parametry!K190)</f>
        <v/>
      </c>
      <c r="G92" s="334" t="s">
        <v>824</v>
      </c>
      <c r="H92" s="514"/>
      <c r="I92" s="514"/>
      <c r="K92" s="377"/>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39"/>
      <c r="BN92" s="339"/>
      <c r="BO92" s="339"/>
      <c r="BP92" s="339"/>
      <c r="BQ92" s="339"/>
      <c r="BR92" s="339"/>
      <c r="BS92" s="339"/>
      <c r="BT92" s="339"/>
      <c r="BU92" s="339"/>
      <c r="BV92" s="339"/>
      <c r="BW92" s="339"/>
      <c r="BX92" s="339"/>
      <c r="BY92" s="339"/>
      <c r="BZ92" s="339"/>
      <c r="CA92" s="339"/>
      <c r="CB92" s="339"/>
      <c r="CC92" s="339"/>
      <c r="CD92" s="339"/>
      <c r="CE92" s="339"/>
    </row>
    <row r="93" spans="1:83" ht="30" customHeight="1" thickBot="1">
      <c r="A93" s="326"/>
      <c r="B93" s="380" t="s">
        <v>576</v>
      </c>
      <c r="C93" s="383"/>
      <c r="D93" s="631" t="s">
        <v>245</v>
      </c>
      <c r="E93" s="632"/>
      <c r="F93" s="118" t="str">
        <f>parametry!M190</f>
        <v/>
      </c>
      <c r="G93" s="334" t="str">
        <f>IF(F93="Konstrukce nesplňuje požadavky programu","Pozn. Upravte tloušťku nebo typ zateplení nebo součinitel prostupu tepla konstrukce","")</f>
        <v/>
      </c>
      <c r="H93" s="518" t="b">
        <f>IF(AND(OR(F88="ano",ISBLANK(F88)),ISBLANK(F91)),TRUE,FALSE)</f>
        <v>1</v>
      </c>
      <c r="I93" s="520"/>
      <c r="K93" s="377"/>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39"/>
      <c r="BN93" s="339"/>
      <c r="BO93" s="339"/>
      <c r="BP93" s="339"/>
      <c r="BQ93" s="339"/>
      <c r="BR93" s="339"/>
      <c r="BS93" s="339"/>
      <c r="BT93" s="339"/>
      <c r="BU93" s="339"/>
      <c r="BV93" s="339"/>
      <c r="BW93" s="339"/>
      <c r="BX93" s="339"/>
      <c r="BY93" s="339"/>
      <c r="BZ93" s="339"/>
      <c r="CA93" s="339"/>
      <c r="CB93" s="339"/>
      <c r="CC93" s="339"/>
      <c r="CD93" s="339"/>
      <c r="CE93" s="339"/>
    </row>
    <row r="94" spans="1:83" ht="30" customHeight="1" thickBot="1">
      <c r="A94" s="326"/>
      <c r="B94" s="376" t="s">
        <v>771</v>
      </c>
      <c r="C94" s="279" t="s">
        <v>740</v>
      </c>
      <c r="D94" s="631" t="s">
        <v>37</v>
      </c>
      <c r="E94" s="632"/>
      <c r="F94" s="61"/>
      <c r="G94" s="384" t="str">
        <f>IF(AND(ISBLANK(F35),F94="ano"),"Pozor nespecifikovali jste konstrukci v sekci 3.1.8.","")</f>
        <v/>
      </c>
      <c r="H94" s="514" t="b">
        <f>OR(ISBLANK(F94),F94="ne")</f>
        <v>1</v>
      </c>
      <c r="I94" s="514" t="b">
        <f>AND(F94="ano",ISBLANK(F97))</f>
        <v>0</v>
      </c>
      <c r="K94" s="122"/>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39"/>
      <c r="BN94" s="339"/>
      <c r="BO94" s="339"/>
      <c r="BP94" s="339"/>
      <c r="BQ94" s="339"/>
      <c r="BR94" s="339"/>
      <c r="BS94" s="339"/>
      <c r="BT94" s="339"/>
      <c r="BU94" s="339"/>
      <c r="BV94" s="339"/>
      <c r="BW94" s="339"/>
      <c r="BX94" s="339"/>
      <c r="BY94" s="339"/>
      <c r="BZ94" s="339"/>
      <c r="CA94" s="339"/>
      <c r="CB94" s="339"/>
      <c r="CC94" s="339"/>
      <c r="CD94" s="339"/>
      <c r="CE94" s="339"/>
    </row>
    <row r="95" spans="1:83" ht="30" hidden="1" customHeight="1" thickBot="1">
      <c r="A95" s="326"/>
      <c r="B95" s="378" t="s">
        <v>581</v>
      </c>
      <c r="C95" s="381"/>
      <c r="D95" s="631" t="s">
        <v>446</v>
      </c>
      <c r="E95" s="632"/>
      <c r="F95" s="61"/>
      <c r="G95" s="334" t="s">
        <v>825</v>
      </c>
      <c r="H95" s="518" t="b">
        <f>OR(ISBLANK(F94),F94="ne")</f>
        <v>1</v>
      </c>
      <c r="I95" s="514"/>
      <c r="K95" s="122"/>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39"/>
      <c r="BN95" s="339"/>
      <c r="BO95" s="339"/>
      <c r="BP95" s="339"/>
      <c r="BQ95" s="339"/>
      <c r="BR95" s="339"/>
      <c r="BS95" s="339"/>
      <c r="BT95" s="339"/>
      <c r="BU95" s="339"/>
      <c r="BV95" s="339"/>
      <c r="BW95" s="339"/>
      <c r="BX95" s="339"/>
      <c r="BY95" s="339"/>
      <c r="BZ95" s="339"/>
      <c r="CA95" s="339"/>
      <c r="CB95" s="339"/>
      <c r="CC95" s="339"/>
      <c r="CD95" s="339"/>
      <c r="CE95" s="339"/>
    </row>
    <row r="96" spans="1:83" ht="30" hidden="1" customHeight="1" thickBot="1">
      <c r="A96" s="326"/>
      <c r="B96" s="378" t="s">
        <v>582</v>
      </c>
      <c r="C96" s="381"/>
      <c r="D96" s="631" t="s">
        <v>434</v>
      </c>
      <c r="E96" s="632"/>
      <c r="F96" s="61"/>
      <c r="G96" s="334"/>
      <c r="H96" s="518" t="b">
        <f>(ISBLANK(F95))</f>
        <v>1</v>
      </c>
      <c r="I96" s="514"/>
      <c r="J96" s="121"/>
      <c r="K96" s="122"/>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39"/>
      <c r="BN96" s="339"/>
      <c r="BO96" s="339"/>
      <c r="BP96" s="339"/>
      <c r="BQ96" s="339"/>
      <c r="BR96" s="339"/>
      <c r="BS96" s="339"/>
      <c r="BT96" s="339"/>
      <c r="BU96" s="339"/>
      <c r="BV96" s="339"/>
      <c r="BW96" s="339"/>
      <c r="BX96" s="339"/>
      <c r="BY96" s="339"/>
      <c r="BZ96" s="339"/>
      <c r="CA96" s="339"/>
      <c r="CB96" s="339"/>
      <c r="CC96" s="339"/>
      <c r="CD96" s="339"/>
      <c r="CE96" s="339"/>
    </row>
    <row r="97" spans="1:83" ht="30" hidden="1" customHeight="1" thickBot="1">
      <c r="A97" s="326"/>
      <c r="B97" s="378" t="s">
        <v>583</v>
      </c>
      <c r="C97" s="381"/>
      <c r="D97" s="631" t="s">
        <v>419</v>
      </c>
      <c r="E97" s="632"/>
      <c r="F97" s="61"/>
      <c r="G97" s="334"/>
      <c r="H97" s="518" t="b">
        <f>(ISBLANK(F96))</f>
        <v>1</v>
      </c>
      <c r="I97" s="514"/>
      <c r="J97" s="121"/>
      <c r="K97" s="122"/>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39"/>
      <c r="BN97" s="339"/>
      <c r="BO97" s="339"/>
      <c r="BP97" s="339"/>
      <c r="BQ97" s="339"/>
      <c r="BR97" s="339"/>
      <c r="BS97" s="339"/>
      <c r="BT97" s="339"/>
      <c r="BU97" s="339"/>
      <c r="BV97" s="339"/>
      <c r="BW97" s="339"/>
      <c r="BX97" s="339"/>
      <c r="BY97" s="339"/>
      <c r="BZ97" s="339"/>
      <c r="CA97" s="339"/>
      <c r="CB97" s="339"/>
      <c r="CC97" s="339"/>
      <c r="CD97" s="339"/>
      <c r="CE97" s="339"/>
    </row>
    <row r="98" spans="1:83" ht="30" hidden="1" customHeight="1" thickBot="1">
      <c r="A98" s="326"/>
      <c r="B98" s="378" t="s">
        <v>584</v>
      </c>
      <c r="C98" s="379"/>
      <c r="D98" s="370" t="s">
        <v>432</v>
      </c>
      <c r="E98" s="371" t="e">
        <f>parametry!L191</f>
        <v>#N/A</v>
      </c>
      <c r="F98" s="116" t="str">
        <f>IF(ISBLANK(F97),"",parametry!K191)</f>
        <v/>
      </c>
      <c r="G98" s="334" t="s">
        <v>824</v>
      </c>
      <c r="H98" s="518" t="b">
        <f>IF(AND(OR(F94="ano",ISBLANK(F94)),ISBLANK(F97)),TRUE,FALSE)</f>
        <v>1</v>
      </c>
      <c r="I98" s="514"/>
      <c r="J98" s="121"/>
      <c r="K98" s="122"/>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39"/>
      <c r="BN98" s="339"/>
      <c r="BO98" s="339"/>
      <c r="BP98" s="339"/>
      <c r="BQ98" s="339"/>
      <c r="BR98" s="339"/>
      <c r="BS98" s="339"/>
      <c r="BT98" s="339"/>
      <c r="BU98" s="339"/>
      <c r="BV98" s="339"/>
      <c r="BW98" s="339"/>
      <c r="BX98" s="339"/>
      <c r="BY98" s="339"/>
      <c r="BZ98" s="339"/>
      <c r="CA98" s="339"/>
      <c r="CB98" s="339"/>
      <c r="CC98" s="339"/>
      <c r="CD98" s="339"/>
      <c r="CE98" s="339"/>
    </row>
    <row r="99" spans="1:83" ht="30" hidden="1" customHeight="1" thickBot="1">
      <c r="A99" s="326"/>
      <c r="B99" s="380" t="s">
        <v>585</v>
      </c>
      <c r="C99" s="383"/>
      <c r="D99" s="631" t="s">
        <v>245</v>
      </c>
      <c r="E99" s="632"/>
      <c r="F99" s="118" t="str">
        <f>parametry!M191</f>
        <v/>
      </c>
      <c r="G99" s="334" t="str">
        <f>IF(F99="Konstrukce nesplňuje požadavky programu","Pozn. Upravte tloušťku nebo typ zateplení nebo součinitel prostupu tepla konstrukce","")</f>
        <v/>
      </c>
      <c r="I99" s="514"/>
      <c r="J99" s="121"/>
      <c r="K99" s="122"/>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39"/>
      <c r="BN99" s="339"/>
      <c r="BO99" s="339"/>
      <c r="BP99" s="339"/>
      <c r="BQ99" s="339"/>
      <c r="BR99" s="339"/>
      <c r="BS99" s="339"/>
      <c r="BT99" s="339"/>
      <c r="BU99" s="339"/>
      <c r="BV99" s="339"/>
      <c r="BW99" s="339"/>
      <c r="BX99" s="339"/>
      <c r="BY99" s="339"/>
      <c r="BZ99" s="339"/>
      <c r="CA99" s="339"/>
      <c r="CB99" s="339"/>
      <c r="CC99" s="339"/>
      <c r="CD99" s="339"/>
      <c r="CE99" s="339"/>
    </row>
    <row r="100" spans="1:83" ht="30" customHeight="1" thickBot="1">
      <c r="A100" s="326"/>
      <c r="B100" s="385" t="s">
        <v>772</v>
      </c>
      <c r="C100" s="386" t="s">
        <v>514</v>
      </c>
      <c r="D100" s="631" t="s">
        <v>37</v>
      </c>
      <c r="E100" s="632"/>
      <c r="F100" s="123"/>
      <c r="G100" s="334"/>
      <c r="H100" s="514" t="b">
        <f>OR(ISBLANK(F100),F100="ne")</f>
        <v>1</v>
      </c>
      <c r="I100" s="518"/>
      <c r="K100" s="121"/>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39"/>
      <c r="BN100" s="339"/>
      <c r="BO100" s="339"/>
      <c r="BP100" s="339"/>
      <c r="BQ100" s="339"/>
      <c r="BR100" s="339"/>
      <c r="BS100" s="339"/>
      <c r="BT100" s="339"/>
      <c r="BU100" s="339"/>
      <c r="BV100" s="339"/>
      <c r="BW100" s="339"/>
      <c r="BX100" s="339"/>
      <c r="BY100" s="339"/>
      <c r="BZ100" s="339"/>
      <c r="CA100" s="339"/>
      <c r="CB100" s="339"/>
      <c r="CC100" s="339"/>
      <c r="CD100" s="339"/>
      <c r="CE100" s="339"/>
    </row>
    <row r="101" spans="1:83" s="326" customFormat="1" ht="30" hidden="1" customHeight="1" thickBot="1">
      <c r="B101" s="385" t="s">
        <v>579</v>
      </c>
      <c r="C101" s="387"/>
      <c r="D101" s="631" t="s">
        <v>773</v>
      </c>
      <c r="E101" s="632"/>
      <c r="F101" s="60"/>
      <c r="G101" s="388" t="str">
        <f>IF(ISBLANK(F101),"",IF(F101&lt;67%,"Nesplňuje požadavky na účinnost rekuperace, účinnost musí být alespoň 67%",""))</f>
        <v/>
      </c>
      <c r="H101" s="520" t="b">
        <f>OR(ISBLANK(F100),F100="ne")</f>
        <v>1</v>
      </c>
      <c r="I101" s="520"/>
      <c r="K101" s="122"/>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row>
    <row r="102" spans="1:83" ht="30" hidden="1" customHeight="1" thickBot="1">
      <c r="B102" s="385" t="s">
        <v>580</v>
      </c>
      <c r="C102" s="387"/>
      <c r="D102" s="631" t="s">
        <v>439</v>
      </c>
      <c r="E102" s="632"/>
      <c r="F102" s="63"/>
      <c r="G102" s="389"/>
      <c r="H102" s="520" t="b">
        <f>ISBLANK(F101)</f>
        <v>1</v>
      </c>
      <c r="I102" s="514"/>
      <c r="K102" s="122"/>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row>
    <row r="103" spans="1:83" s="326" customFormat="1" ht="30" customHeight="1" thickBot="1">
      <c r="B103" s="385" t="s">
        <v>833</v>
      </c>
      <c r="C103" s="387"/>
      <c r="D103" s="631" t="s">
        <v>834</v>
      </c>
      <c r="E103" s="632"/>
      <c r="F103" s="63"/>
      <c r="G103" s="329"/>
      <c r="H103" s="514" t="b">
        <f>ISBLANK(F102)</f>
        <v>1</v>
      </c>
      <c r="I103" s="514"/>
      <c r="K103" s="122"/>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row>
    <row r="104" spans="1:83" ht="54.6" customHeight="1" thickBot="1">
      <c r="A104" s="326"/>
      <c r="B104" s="328"/>
      <c r="C104" s="326"/>
      <c r="D104" s="326"/>
      <c r="E104" s="326"/>
      <c r="F104" s="391" t="str">
        <f>IF(H104=TRUE,"Konec formuláře","")</f>
        <v/>
      </c>
      <c r="H104" s="514" t="b">
        <f>IF(G94="Pozor nespecifikovali jste konstrukci v sekci 3.1.8.",FALSE,IF(AND(F100="ano",ISBLANK(F103)),FALSE,IF(F100="NE",TRUE,IF(F100="ano",TRUE,FALSE))))</f>
        <v>0</v>
      </c>
      <c r="I104" s="514"/>
      <c r="J104" s="121"/>
      <c r="K104" s="122"/>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row>
    <row r="105" spans="1:83" ht="31.15" customHeight="1" thickBot="1">
      <c r="B105" s="186" t="s">
        <v>732</v>
      </c>
      <c r="C105" s="147" t="s">
        <v>502</v>
      </c>
      <c r="D105" s="329"/>
      <c r="E105" s="329"/>
      <c r="F105" s="329"/>
      <c r="H105" s="514"/>
      <c r="I105" s="514"/>
      <c r="J105" s="121"/>
      <c r="K105" s="122"/>
      <c r="L105" s="122"/>
    </row>
    <row r="106" spans="1:83" ht="31.15" customHeight="1" thickBot="1">
      <c r="B106" s="148"/>
      <c r="C106" s="149" t="str">
        <f>IF(parametry!B136=2,IF(F24="ano","",Zateplení!F23),"")</f>
        <v/>
      </c>
      <c r="D106" s="329"/>
      <c r="E106" s="329"/>
      <c r="F106" s="392"/>
      <c r="H106" s="514"/>
      <c r="I106" s="514"/>
      <c r="J106" s="121"/>
      <c r="K106" s="122"/>
      <c r="L106" s="122"/>
    </row>
    <row r="107" spans="1:83" ht="31.15" customHeight="1" thickBot="1">
      <c r="B107" s="148"/>
      <c r="C107" s="150" t="str">
        <f>IF(ISBLANK(F100),"",IF(OR(parametry!M186="Konstrukce nesplňuje požadavky programu",parametry!M187="Konstrukce nesplňuje požadavky programu",parametry!M188="Konstrukce nesplňuje požadavky programu",parametry!M189="Konstrukce nesplňuje požadavky programu",parametry!M190="Konstrukce nesplňuje požadavky programu",parametry!M191="Konstrukce nesplňuje požadavky programu",G101="Konstrukce nesplňuje požadavky na účinnost rekuperace, účinnost musí být alespoň 67%"),"Opatření nesplňují požadavky programu","Opatření splňují požadavky programu"))</f>
        <v/>
      </c>
      <c r="D107" s="377"/>
      <c r="E107" s="393"/>
      <c r="F107" s="394"/>
      <c r="H107" s="514"/>
      <c r="I107" s="514"/>
      <c r="J107" s="121"/>
      <c r="K107" s="122"/>
      <c r="L107" s="122"/>
    </row>
    <row r="108" spans="1:83" ht="31.15" customHeight="1">
      <c r="B108" s="148"/>
      <c r="C108" s="192" t="str">
        <f>IF(H104=FALSE,"Nejsou vyplněna všechna data",IF(ISBLANK(F100),"",IF(AND(parametry!B109=TRUE,ISBLANK(Kotel!E4)),"Pro celkové vyhodnocení doplňte parametry zdroje na listu KOTEL",IF(AND(F7="ano",OR(parametry!O194&gt;1000,3*parametry!E86&lt;parametry!E87)),"Zkontrolujte zda jsou správně zadány plochy zateplovaných konstrukcí, tloušťky izolací, větraný objem a parametry budovy (vytápěná plocha, spotřeba energie před realizací).",IF(parametry!O194&gt;1000,"Zkontrolujte zda jsou správně zadány plochy zateplovaných konstrukcí, tloušťky izolací, větraný objem a parametry budovy (vytápěná plocha, spotřeba energie před realizací).","")))))</f>
        <v>Nejsou vyplněna všechna data</v>
      </c>
      <c r="D108" s="377"/>
      <c r="E108" s="393"/>
      <c r="F108" s="394"/>
      <c r="H108" s="514"/>
      <c r="I108" s="514"/>
      <c r="J108" s="121"/>
      <c r="K108" s="122"/>
      <c r="L108" s="122"/>
    </row>
    <row r="109" spans="1:83" s="372" customFormat="1" ht="16.5" customHeight="1" thickBot="1">
      <c r="A109" s="329"/>
      <c r="B109" s="395"/>
      <c r="C109" s="377"/>
      <c r="D109" s="377"/>
      <c r="E109" s="377"/>
      <c r="F109" s="377"/>
      <c r="G109" s="329"/>
      <c r="H109" s="518"/>
      <c r="I109" s="515"/>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T109" s="329"/>
      <c r="BU109" s="329"/>
      <c r="BV109" s="329"/>
      <c r="BW109" s="329"/>
      <c r="BX109" s="329"/>
      <c r="BY109" s="329"/>
      <c r="BZ109" s="329"/>
      <c r="CA109" s="329"/>
      <c r="CB109" s="329"/>
      <c r="CC109" s="329"/>
      <c r="CD109" s="329"/>
      <c r="CE109" s="329"/>
    </row>
    <row r="110" spans="1:83" s="396" customFormat="1" ht="33" customHeight="1" thickBot="1">
      <c r="B110" s="186" t="s">
        <v>733</v>
      </c>
      <c r="C110" s="147" t="str">
        <f>IF(parametry!B109=TRUE,"Bilance spotřeby energie před a po realizaci opatření je uvedena v listu KOTEL","Bilance spotřeby energie před a po realizaci opatření")</f>
        <v>Bilance spotřeby energie před a po realizaci opatření</v>
      </c>
      <c r="D110" s="151"/>
      <c r="E110" s="151"/>
      <c r="F110" s="152"/>
      <c r="G110" s="515" t="b">
        <f>parametry!B109=TRUE</f>
        <v>0</v>
      </c>
      <c r="H110" s="518"/>
      <c r="I110" s="515"/>
      <c r="J110" s="329"/>
      <c r="K110" s="329"/>
      <c r="L110" s="329"/>
      <c r="M110" s="329"/>
    </row>
    <row r="111" spans="1:83" s="396" customFormat="1" ht="33" customHeight="1" thickBot="1">
      <c r="B111" s="161"/>
      <c r="C111" s="153" t="s">
        <v>671</v>
      </c>
      <c r="D111" s="154">
        <f>IF(AND(parametry!B109=TRUE,parametry!B110=TRUE,parametry!B119=2),0,IF(AND(parametry!B109=TRUE,parametry!B110=TRUE),0,IF(parametry!B110=TRUE,IFERROR(parametry!B71*GJ_na_kWh,0),0)))</f>
        <v>0</v>
      </c>
      <c r="E111" s="154"/>
      <c r="F111" s="153" t="s">
        <v>676</v>
      </c>
      <c r="G111" s="329"/>
      <c r="H111" s="518"/>
      <c r="I111" s="515"/>
      <c r="J111" s="329"/>
      <c r="K111" s="329"/>
      <c r="L111" s="329"/>
      <c r="M111" s="329"/>
    </row>
    <row r="112" spans="1:83" s="396" customFormat="1" ht="33" customHeight="1" thickBot="1">
      <c r="B112" s="161"/>
      <c r="C112" s="153" t="s">
        <v>672</v>
      </c>
      <c r="D112" s="154">
        <f>IF(AND(parametry!B109=TRUE,parametry!B110=TRUE,parametry!B119=2),0,IF(AND(parametry!B109=TRUE,parametry!B110=TRUE),0,IF(parametry!B110=TRUE,IFERROR(parametry!B75*GJ_na_kWh,0),0)))</f>
        <v>0</v>
      </c>
      <c r="E112" s="154"/>
      <c r="F112" s="153" t="s">
        <v>676</v>
      </c>
      <c r="G112" s="329"/>
      <c r="H112" s="518"/>
      <c r="I112" s="515"/>
      <c r="J112" s="329"/>
      <c r="K112" s="329"/>
      <c r="L112" s="329"/>
      <c r="M112" s="329"/>
    </row>
    <row r="113" spans="1:83" s="396" customFormat="1" ht="33" customHeight="1" thickBot="1">
      <c r="B113" s="161"/>
      <c r="C113" s="153" t="s">
        <v>673</v>
      </c>
      <c r="D113" s="155">
        <f>D111-D112</f>
        <v>0</v>
      </c>
      <c r="E113" s="155"/>
      <c r="F113" s="153" t="s">
        <v>676</v>
      </c>
      <c r="G113" s="329"/>
      <c r="H113" s="518"/>
      <c r="I113" s="515"/>
      <c r="J113" s="329"/>
      <c r="K113" s="329"/>
      <c r="L113" s="329"/>
      <c r="M113" s="329"/>
    </row>
    <row r="114" spans="1:83" s="396" customFormat="1" ht="33" customHeight="1" thickBot="1">
      <c r="B114" s="161"/>
      <c r="C114" s="153" t="s">
        <v>673</v>
      </c>
      <c r="D114" s="156">
        <f>IFERROR(D113/D111,0)</f>
        <v>0</v>
      </c>
      <c r="E114" s="156"/>
      <c r="F114" s="153"/>
      <c r="G114" s="329"/>
      <c r="H114" s="518"/>
      <c r="I114" s="515"/>
      <c r="J114" s="329"/>
      <c r="K114" s="329"/>
      <c r="L114" s="329"/>
      <c r="M114" s="329"/>
    </row>
    <row r="115" spans="1:83" s="396" customFormat="1" ht="33" customHeight="1" thickBot="1">
      <c r="B115" s="161"/>
      <c r="C115" s="157" t="s">
        <v>674</v>
      </c>
      <c r="D115" s="155"/>
      <c r="E115" s="155"/>
      <c r="F115" s="153"/>
      <c r="G115" s="329"/>
      <c r="H115" s="518"/>
      <c r="I115" s="515"/>
      <c r="J115" s="329"/>
      <c r="K115" s="329"/>
      <c r="L115" s="329"/>
      <c r="M115" s="329"/>
    </row>
    <row r="116" spans="1:83" s="396" customFormat="1" ht="33" customHeight="1" thickBot="1">
      <c r="B116" s="161"/>
      <c r="C116" s="158" t="s">
        <v>226</v>
      </c>
      <c r="D116" s="155">
        <f>IF(AND(parametry!B109=TRUE,parametry!B110=TRUE,parametry!B119=2),0,IF(AND(parametry!B109=TRUE,parametry!B110=TRUE),0,IF(parametry!B110=TRUE,IFERROR(parametry!B81*GJ_na_kWh,0),0)))</f>
        <v>0</v>
      </c>
      <c r="E116" s="155"/>
      <c r="F116" s="153" t="s">
        <v>676</v>
      </c>
      <c r="G116" s="329"/>
      <c r="H116" s="518"/>
      <c r="I116" s="515"/>
      <c r="J116" s="329"/>
      <c r="K116" s="329"/>
      <c r="L116" s="329"/>
      <c r="M116" s="329"/>
    </row>
    <row r="117" spans="1:83" s="396" customFormat="1" ht="33" customHeight="1" thickBot="1">
      <c r="B117" s="161"/>
      <c r="C117" s="158" t="s">
        <v>168</v>
      </c>
      <c r="D117" s="155">
        <f>IF(AND(parametry!B109=TRUE,parametry!B110=TRUE,parametry!B119=2),0,IF(AND(parametry!B109=TRUE,parametry!B110=TRUE),0,IF(parametry!B110=TRUE,IFERROR(parametry!B82*GJ_na_kWh,0),0)))</f>
        <v>0</v>
      </c>
      <c r="E117" s="155"/>
      <c r="F117" s="153" t="s">
        <v>676</v>
      </c>
      <c r="G117" s="329"/>
      <c r="H117" s="518"/>
      <c r="I117" s="515"/>
      <c r="J117" s="329"/>
      <c r="K117" s="329"/>
      <c r="L117" s="329"/>
      <c r="M117" s="329"/>
    </row>
    <row r="118" spans="1:83" s="396" customFormat="1" ht="33" customHeight="1">
      <c r="B118" s="162"/>
      <c r="C118" s="133" t="s">
        <v>675</v>
      </c>
      <c r="D118" s="134">
        <f>IF(AND(parametry!B109=TRUE,parametry!B110=TRUE,parametry!B119=2),0,IF(AND(parametry!B109=TRUE,parametry!B110=TRUE),0,IF(parametry!B110=TRUE,IFERROR(parametry!J77,0),0)))</f>
        <v>0</v>
      </c>
      <c r="E118" s="134"/>
      <c r="F118" s="135" t="s">
        <v>677</v>
      </c>
      <c r="G118" s="329"/>
      <c r="H118" s="518"/>
      <c r="I118" s="515"/>
      <c r="J118" s="329"/>
      <c r="K118" s="329"/>
      <c r="L118" s="329"/>
      <c r="M118" s="329"/>
    </row>
    <row r="119" spans="1:83" s="396" customFormat="1" ht="33" customHeight="1">
      <c r="B119" s="162"/>
      <c r="C119" s="133" t="s">
        <v>475</v>
      </c>
      <c r="D119" s="134">
        <f>IF(AND(parametry!B109=TRUE,parametry!B110=TRUE,parametry!B119=2),0,IF(AND(parametry!B109=TRUE,parametry!B110=TRUE),0,IF(parametry!B110=TRUE,IFERROR(parametry!K77,0),0)))</f>
        <v>0</v>
      </c>
      <c r="E119" s="134"/>
      <c r="F119" s="135" t="s">
        <v>678</v>
      </c>
      <c r="G119" s="329"/>
      <c r="H119" s="518"/>
      <c r="I119" s="515"/>
      <c r="J119" s="329"/>
      <c r="K119" s="329"/>
      <c r="L119" s="329"/>
      <c r="M119" s="329"/>
    </row>
    <row r="120" spans="1:83" s="396" customFormat="1" ht="33" customHeight="1">
      <c r="B120" s="384"/>
      <c r="C120" s="384"/>
      <c r="G120" s="329"/>
      <c r="H120" s="518"/>
      <c r="I120" s="515"/>
      <c r="J120" s="329"/>
      <c r="K120" s="329"/>
      <c r="L120" s="329"/>
      <c r="M120" s="329"/>
    </row>
    <row r="121" spans="1:83" s="326" customFormat="1">
      <c r="B121" s="328"/>
      <c r="C121" s="2"/>
      <c r="G121" s="329"/>
      <c r="H121" s="518"/>
      <c r="I121" s="515"/>
      <c r="J121" s="329"/>
      <c r="K121" s="329"/>
      <c r="L121" s="329"/>
      <c r="M121" s="329"/>
    </row>
    <row r="122" spans="1:83">
      <c r="A122" s="326"/>
      <c r="B122" s="328"/>
      <c r="C122" s="328"/>
      <c r="D122" s="326"/>
      <c r="E122" s="326"/>
      <c r="F122" s="326"/>
      <c r="L122" s="372"/>
      <c r="M122" s="372"/>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c r="BM122" s="339"/>
      <c r="BN122" s="339"/>
      <c r="BO122" s="339"/>
      <c r="BP122" s="339"/>
      <c r="BQ122" s="339"/>
      <c r="BR122" s="339"/>
      <c r="BS122" s="339"/>
      <c r="BT122" s="339"/>
      <c r="BU122" s="339"/>
      <c r="BV122" s="339"/>
      <c r="BW122" s="339"/>
      <c r="BX122" s="339"/>
      <c r="BY122" s="339"/>
      <c r="BZ122" s="339"/>
      <c r="CA122" s="339"/>
      <c r="CB122" s="339"/>
      <c r="CC122" s="339"/>
      <c r="CD122" s="339"/>
      <c r="CE122" s="339"/>
    </row>
    <row r="123" spans="1:83">
      <c r="A123" s="326"/>
      <c r="B123" s="328"/>
      <c r="C123" s="328"/>
      <c r="D123" s="326"/>
      <c r="E123" s="326"/>
      <c r="F123" s="326"/>
      <c r="L123" s="372"/>
      <c r="M123" s="372"/>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39"/>
      <c r="BW123" s="339"/>
      <c r="BX123" s="339"/>
      <c r="BY123" s="339"/>
      <c r="BZ123" s="339"/>
      <c r="CA123" s="339"/>
      <c r="CB123" s="339"/>
      <c r="CC123" s="339"/>
      <c r="CD123" s="339"/>
      <c r="CE123" s="339"/>
    </row>
    <row r="124" spans="1:83">
      <c r="A124" s="326"/>
      <c r="B124" s="328"/>
      <c r="C124" s="328"/>
      <c r="D124" s="326"/>
      <c r="E124" s="326"/>
      <c r="F124" s="326"/>
      <c r="L124" s="372"/>
      <c r="M124" s="372"/>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339"/>
      <c r="BG124" s="339"/>
      <c r="BH124" s="339"/>
      <c r="BI124" s="339"/>
      <c r="BJ124" s="339"/>
      <c r="BK124" s="339"/>
      <c r="BL124" s="339"/>
      <c r="BM124" s="339"/>
      <c r="BN124" s="339"/>
      <c r="BO124" s="339"/>
      <c r="BP124" s="339"/>
      <c r="BQ124" s="339"/>
      <c r="BR124" s="339"/>
      <c r="BS124" s="339"/>
      <c r="BT124" s="339"/>
      <c r="BU124" s="339"/>
      <c r="BV124" s="339"/>
      <c r="BW124" s="339"/>
      <c r="BX124" s="339"/>
      <c r="BY124" s="339"/>
      <c r="BZ124" s="339"/>
      <c r="CA124" s="339"/>
      <c r="CB124" s="339"/>
      <c r="CC124" s="339"/>
      <c r="CD124" s="339"/>
      <c r="CE124" s="339"/>
    </row>
    <row r="125" spans="1:83">
      <c r="A125" s="326"/>
      <c r="B125" s="328"/>
      <c r="C125" s="328"/>
      <c r="D125" s="326"/>
      <c r="E125" s="326"/>
      <c r="F125" s="326"/>
      <c r="L125" s="372"/>
      <c r="M125" s="372"/>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row>
    <row r="126" spans="1:83">
      <c r="A126" s="326"/>
      <c r="B126" s="328"/>
      <c r="C126" s="328"/>
      <c r="D126" s="326"/>
      <c r="E126" s="326"/>
      <c r="F126" s="326"/>
      <c r="L126" s="372"/>
      <c r="M126" s="372"/>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39"/>
      <c r="BU126" s="339"/>
      <c r="BV126" s="339"/>
      <c r="BW126" s="339"/>
      <c r="BX126" s="339"/>
      <c r="BY126" s="339"/>
      <c r="BZ126" s="339"/>
      <c r="CA126" s="339"/>
      <c r="CB126" s="339"/>
      <c r="CC126" s="339"/>
      <c r="CD126" s="339"/>
      <c r="CE126" s="339"/>
    </row>
    <row r="127" spans="1:83">
      <c r="A127" s="326"/>
      <c r="B127" s="328"/>
      <c r="C127" s="328"/>
      <c r="D127" s="326"/>
      <c r="E127" s="326"/>
      <c r="F127" s="326"/>
      <c r="L127" s="372"/>
      <c r="M127" s="372"/>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339"/>
      <c r="BI127" s="339"/>
      <c r="BJ127" s="339"/>
      <c r="BK127" s="339"/>
      <c r="BL127" s="339"/>
      <c r="BM127" s="339"/>
      <c r="BN127" s="339"/>
      <c r="BO127" s="339"/>
      <c r="BP127" s="339"/>
      <c r="BQ127" s="339"/>
      <c r="BR127" s="339"/>
      <c r="BS127" s="339"/>
      <c r="BT127" s="339"/>
      <c r="BU127" s="339"/>
      <c r="BV127" s="339"/>
      <c r="BW127" s="339"/>
      <c r="BX127" s="339"/>
      <c r="BY127" s="339"/>
      <c r="BZ127" s="339"/>
      <c r="CA127" s="339"/>
      <c r="CB127" s="339"/>
      <c r="CC127" s="339"/>
      <c r="CD127" s="339"/>
      <c r="CE127" s="339"/>
    </row>
    <row r="128" spans="1:83">
      <c r="A128" s="326"/>
      <c r="B128" s="328"/>
      <c r="C128" s="328"/>
      <c r="D128" s="326"/>
      <c r="E128" s="326"/>
      <c r="F128" s="326"/>
      <c r="L128" s="372"/>
      <c r="M128" s="372"/>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339"/>
      <c r="BI128" s="339"/>
      <c r="BJ128" s="339"/>
      <c r="BK128" s="339"/>
      <c r="BL128" s="339"/>
      <c r="BM128" s="339"/>
      <c r="BN128" s="339"/>
      <c r="BO128" s="339"/>
      <c r="BP128" s="339"/>
      <c r="BQ128" s="339"/>
      <c r="BR128" s="339"/>
      <c r="BS128" s="339"/>
      <c r="BT128" s="339"/>
      <c r="BU128" s="339"/>
      <c r="BV128" s="339"/>
      <c r="BW128" s="339"/>
      <c r="BX128" s="339"/>
      <c r="BY128" s="339"/>
      <c r="BZ128" s="339"/>
      <c r="CA128" s="339"/>
      <c r="CB128" s="339"/>
      <c r="CC128" s="339"/>
      <c r="CD128" s="339"/>
      <c r="CE128" s="339"/>
    </row>
    <row r="129" spans="1:83">
      <c r="A129" s="326"/>
      <c r="B129" s="328"/>
      <c r="C129" s="328"/>
      <c r="D129" s="326"/>
      <c r="E129" s="326"/>
      <c r="F129" s="326"/>
      <c r="L129" s="372"/>
      <c r="M129" s="372"/>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39"/>
      <c r="BJ129" s="339"/>
      <c r="BK129" s="339"/>
      <c r="BL129" s="339"/>
      <c r="BM129" s="339"/>
      <c r="BN129" s="339"/>
      <c r="BO129" s="339"/>
      <c r="BP129" s="339"/>
      <c r="BQ129" s="339"/>
      <c r="BR129" s="339"/>
      <c r="BS129" s="339"/>
      <c r="BT129" s="339"/>
      <c r="BU129" s="339"/>
      <c r="BV129" s="339"/>
      <c r="BW129" s="339"/>
      <c r="BX129" s="339"/>
      <c r="BY129" s="339"/>
      <c r="BZ129" s="339"/>
      <c r="CA129" s="339"/>
      <c r="CB129" s="339"/>
      <c r="CC129" s="339"/>
      <c r="CD129" s="339"/>
      <c r="CE129" s="339"/>
    </row>
    <row r="130" spans="1:83">
      <c r="A130" s="326"/>
      <c r="B130" s="328"/>
      <c r="C130" s="328"/>
      <c r="D130" s="326"/>
      <c r="E130" s="326"/>
      <c r="F130" s="326"/>
      <c r="L130" s="372"/>
      <c r="M130" s="372"/>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39"/>
      <c r="BU130" s="339"/>
      <c r="BV130" s="339"/>
      <c r="BW130" s="339"/>
      <c r="BX130" s="339"/>
      <c r="BY130" s="339"/>
      <c r="BZ130" s="339"/>
      <c r="CA130" s="339"/>
      <c r="CB130" s="339"/>
      <c r="CC130" s="339"/>
      <c r="CD130" s="339"/>
      <c r="CE130" s="339"/>
    </row>
    <row r="131" spans="1:83">
      <c r="A131" s="326"/>
      <c r="B131" s="328"/>
      <c r="C131" s="328"/>
      <c r="D131" s="326"/>
      <c r="E131" s="326"/>
      <c r="F131" s="326"/>
      <c r="L131" s="372"/>
      <c r="M131" s="372"/>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39"/>
      <c r="BK131" s="339"/>
      <c r="BL131" s="339"/>
      <c r="BM131" s="339"/>
      <c r="BN131" s="339"/>
      <c r="BO131" s="339"/>
      <c r="BP131" s="339"/>
      <c r="BQ131" s="339"/>
      <c r="BR131" s="339"/>
      <c r="BS131" s="339"/>
      <c r="BT131" s="339"/>
      <c r="BU131" s="339"/>
      <c r="BV131" s="339"/>
      <c r="BW131" s="339"/>
      <c r="BX131" s="339"/>
      <c r="BY131" s="339"/>
      <c r="BZ131" s="339"/>
      <c r="CA131" s="339"/>
      <c r="CB131" s="339"/>
      <c r="CC131" s="339"/>
      <c r="CD131" s="339"/>
      <c r="CE131" s="339"/>
    </row>
    <row r="132" spans="1:83">
      <c r="A132" s="326"/>
      <c r="B132" s="328"/>
      <c r="C132" s="328"/>
      <c r="D132" s="326"/>
      <c r="E132" s="326"/>
      <c r="F132" s="326"/>
      <c r="L132" s="372"/>
      <c r="M132" s="372"/>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c r="BM132" s="339"/>
      <c r="BN132" s="339"/>
      <c r="BO132" s="339"/>
      <c r="BP132" s="339"/>
      <c r="BQ132" s="339"/>
      <c r="BR132" s="339"/>
      <c r="BS132" s="339"/>
      <c r="BT132" s="339"/>
      <c r="BU132" s="339"/>
      <c r="BV132" s="339"/>
      <c r="BW132" s="339"/>
      <c r="BX132" s="339"/>
      <c r="BY132" s="339"/>
      <c r="BZ132" s="339"/>
      <c r="CA132" s="339"/>
      <c r="CB132" s="339"/>
      <c r="CC132" s="339"/>
      <c r="CD132" s="339"/>
      <c r="CE132" s="339"/>
    </row>
    <row r="133" spans="1:83" s="326" customFormat="1">
      <c r="B133" s="328"/>
      <c r="C133" s="328"/>
      <c r="G133" s="329"/>
      <c r="H133" s="518"/>
      <c r="I133" s="515"/>
      <c r="J133" s="329"/>
      <c r="K133" s="329"/>
      <c r="L133" s="329"/>
      <c r="M133" s="329"/>
    </row>
    <row r="134" spans="1:83" s="326" customFormat="1">
      <c r="B134" s="328"/>
      <c r="C134" s="328"/>
      <c r="G134" s="329"/>
      <c r="H134" s="518"/>
      <c r="I134" s="515"/>
      <c r="J134" s="329"/>
      <c r="K134" s="329"/>
      <c r="L134" s="329"/>
      <c r="M134" s="329"/>
    </row>
    <row r="135" spans="1:83" s="326" customFormat="1">
      <c r="B135" s="328"/>
      <c r="C135" s="328"/>
      <c r="G135" s="329"/>
      <c r="H135" s="518"/>
      <c r="I135" s="515"/>
      <c r="J135" s="329"/>
      <c r="K135" s="329"/>
      <c r="L135" s="329"/>
      <c r="M135" s="329"/>
    </row>
    <row r="136" spans="1:83" s="326" customFormat="1">
      <c r="B136" s="328"/>
      <c r="C136" s="328"/>
      <c r="G136" s="329"/>
      <c r="H136" s="518"/>
      <c r="I136" s="515"/>
      <c r="J136" s="329"/>
      <c r="K136" s="329"/>
      <c r="L136" s="329"/>
      <c r="M136" s="329"/>
    </row>
    <row r="137" spans="1:83" s="326" customFormat="1">
      <c r="B137" s="328"/>
      <c r="C137" s="328"/>
      <c r="G137" s="329"/>
      <c r="H137" s="518"/>
      <c r="I137" s="515"/>
      <c r="J137" s="329"/>
      <c r="K137" s="329"/>
      <c r="L137" s="329"/>
      <c r="M137" s="329"/>
    </row>
    <row r="138" spans="1:83" s="326" customFormat="1">
      <c r="B138" s="328"/>
      <c r="C138" s="328"/>
      <c r="G138" s="329"/>
      <c r="H138" s="518"/>
      <c r="I138" s="515"/>
      <c r="J138" s="329"/>
      <c r="K138" s="329"/>
      <c r="L138" s="329"/>
      <c r="M138" s="329"/>
    </row>
    <row r="139" spans="1:83" s="326" customFormat="1">
      <c r="B139" s="328"/>
      <c r="C139" s="328"/>
      <c r="G139" s="329"/>
      <c r="H139" s="518"/>
      <c r="I139" s="515"/>
      <c r="J139" s="329"/>
      <c r="K139" s="329"/>
      <c r="L139" s="329"/>
      <c r="M139" s="329"/>
    </row>
    <row r="140" spans="1:83" s="326" customFormat="1">
      <c r="B140" s="328"/>
      <c r="C140" s="328"/>
      <c r="G140" s="329"/>
      <c r="H140" s="518"/>
      <c r="I140" s="515"/>
      <c r="J140" s="329"/>
      <c r="K140" s="329"/>
      <c r="L140" s="329"/>
      <c r="M140" s="329"/>
    </row>
    <row r="141" spans="1:83" s="326" customFormat="1">
      <c r="B141" s="328"/>
      <c r="C141" s="328"/>
      <c r="G141" s="329"/>
      <c r="H141" s="518"/>
      <c r="I141" s="515"/>
      <c r="J141" s="329"/>
      <c r="K141" s="329"/>
      <c r="L141" s="329"/>
      <c r="M141" s="329"/>
    </row>
    <row r="142" spans="1:83" s="326" customFormat="1">
      <c r="B142" s="328"/>
      <c r="C142" s="328"/>
      <c r="G142" s="329"/>
      <c r="H142" s="518"/>
      <c r="I142" s="515"/>
      <c r="J142" s="329"/>
      <c r="K142" s="329"/>
      <c r="L142" s="329"/>
      <c r="M142" s="329"/>
    </row>
    <row r="143" spans="1:83" s="326" customFormat="1">
      <c r="B143" s="328"/>
      <c r="C143" s="328"/>
      <c r="G143" s="329"/>
      <c r="H143" s="518"/>
      <c r="I143" s="515"/>
      <c r="J143" s="329"/>
      <c r="K143" s="329"/>
      <c r="L143" s="329"/>
      <c r="M143" s="329"/>
    </row>
    <row r="144" spans="1:83" s="326" customFormat="1">
      <c r="B144" s="328"/>
      <c r="C144" s="328"/>
      <c r="G144" s="329"/>
      <c r="H144" s="518"/>
      <c r="I144" s="515"/>
      <c r="J144" s="329"/>
      <c r="K144" s="329"/>
      <c r="L144" s="329"/>
      <c r="M144" s="329"/>
    </row>
    <row r="145" spans="2:13" s="326" customFormat="1">
      <c r="B145" s="328"/>
      <c r="C145" s="328"/>
      <c r="G145" s="329"/>
      <c r="H145" s="518"/>
      <c r="I145" s="515"/>
      <c r="J145" s="329"/>
      <c r="K145" s="329"/>
      <c r="L145" s="329"/>
      <c r="M145" s="329"/>
    </row>
    <row r="146" spans="2:13" s="326" customFormat="1">
      <c r="B146" s="328"/>
      <c r="C146" s="328"/>
      <c r="G146" s="329"/>
      <c r="H146" s="518"/>
      <c r="I146" s="515"/>
      <c r="J146" s="329"/>
      <c r="K146" s="329"/>
      <c r="L146" s="329"/>
      <c r="M146" s="329"/>
    </row>
    <row r="147" spans="2:13" s="326" customFormat="1">
      <c r="B147" s="328"/>
      <c r="C147" s="328"/>
      <c r="G147" s="329"/>
      <c r="H147" s="518"/>
      <c r="I147" s="515"/>
      <c r="J147" s="329"/>
      <c r="K147" s="329"/>
      <c r="L147" s="329"/>
      <c r="M147" s="329"/>
    </row>
    <row r="148" spans="2:13" s="326" customFormat="1">
      <c r="B148" s="328"/>
      <c r="C148" s="328"/>
      <c r="G148" s="329"/>
      <c r="H148" s="518"/>
      <c r="I148" s="515"/>
      <c r="J148" s="329"/>
      <c r="K148" s="329"/>
      <c r="L148" s="329"/>
      <c r="M148" s="329"/>
    </row>
    <row r="149" spans="2:13" s="326" customFormat="1">
      <c r="B149" s="328"/>
      <c r="C149" s="328"/>
      <c r="G149" s="329"/>
      <c r="H149" s="518"/>
      <c r="I149" s="515"/>
      <c r="J149" s="329"/>
      <c r="K149" s="329"/>
      <c r="L149" s="329"/>
      <c r="M149" s="329"/>
    </row>
    <row r="150" spans="2:13" s="326" customFormat="1">
      <c r="B150" s="328"/>
      <c r="C150" s="328"/>
      <c r="G150" s="329"/>
      <c r="H150" s="518"/>
      <c r="I150" s="515"/>
      <c r="J150" s="329"/>
      <c r="K150" s="329"/>
      <c r="L150" s="329"/>
      <c r="M150" s="329"/>
    </row>
    <row r="151" spans="2:13" s="326" customFormat="1">
      <c r="B151" s="328"/>
      <c r="C151" s="328"/>
      <c r="G151" s="329"/>
      <c r="H151" s="518"/>
      <c r="I151" s="515"/>
      <c r="J151" s="329"/>
      <c r="K151" s="329"/>
      <c r="L151" s="329"/>
      <c r="M151" s="329"/>
    </row>
    <row r="152" spans="2:13" s="326" customFormat="1">
      <c r="B152" s="328"/>
      <c r="C152" s="328"/>
      <c r="G152" s="329"/>
      <c r="H152" s="518"/>
      <c r="I152" s="515"/>
      <c r="J152" s="329"/>
      <c r="K152" s="329"/>
      <c r="L152" s="329"/>
      <c r="M152" s="329"/>
    </row>
    <row r="153" spans="2:13" s="326" customFormat="1">
      <c r="B153" s="328"/>
      <c r="C153" s="328"/>
      <c r="G153" s="329"/>
      <c r="H153" s="518"/>
      <c r="I153" s="515"/>
      <c r="J153" s="329"/>
      <c r="K153" s="329"/>
      <c r="L153" s="329"/>
      <c r="M153" s="329"/>
    </row>
    <row r="154" spans="2:13" s="326" customFormat="1">
      <c r="B154" s="328"/>
      <c r="C154" s="328"/>
      <c r="G154" s="329"/>
      <c r="H154" s="518"/>
      <c r="I154" s="515"/>
      <c r="J154" s="329"/>
      <c r="K154" s="329"/>
      <c r="L154" s="329"/>
      <c r="M154" s="329"/>
    </row>
    <row r="155" spans="2:13" s="326" customFormat="1">
      <c r="B155" s="328"/>
      <c r="C155" s="328"/>
      <c r="G155" s="329"/>
      <c r="H155" s="518"/>
      <c r="I155" s="515"/>
      <c r="J155" s="329"/>
      <c r="K155" s="329"/>
      <c r="L155" s="329"/>
      <c r="M155" s="329"/>
    </row>
    <row r="156" spans="2:13" s="326" customFormat="1">
      <c r="B156" s="328"/>
      <c r="C156" s="328"/>
      <c r="G156" s="329"/>
      <c r="H156" s="518"/>
      <c r="I156" s="515"/>
      <c r="J156" s="329"/>
      <c r="K156" s="329"/>
      <c r="L156" s="329"/>
      <c r="M156" s="329"/>
    </row>
    <row r="157" spans="2:13" s="326" customFormat="1">
      <c r="B157" s="328"/>
      <c r="C157" s="328"/>
      <c r="G157" s="329"/>
      <c r="H157" s="518"/>
      <c r="I157" s="515"/>
      <c r="J157" s="329"/>
      <c r="K157" s="329"/>
      <c r="L157" s="329"/>
      <c r="M157" s="329"/>
    </row>
    <row r="158" spans="2:13" s="326" customFormat="1">
      <c r="B158" s="328"/>
      <c r="C158" s="328"/>
      <c r="G158" s="329"/>
      <c r="H158" s="518"/>
      <c r="I158" s="515"/>
      <c r="J158" s="329"/>
      <c r="K158" s="329"/>
      <c r="L158" s="329"/>
      <c r="M158" s="329"/>
    </row>
    <row r="159" spans="2:13" s="326" customFormat="1">
      <c r="B159" s="328"/>
      <c r="C159" s="328"/>
      <c r="G159" s="329"/>
      <c r="H159" s="518"/>
      <c r="I159" s="515"/>
      <c r="J159" s="329"/>
      <c r="K159" s="329"/>
      <c r="L159" s="329"/>
      <c r="M159" s="329"/>
    </row>
    <row r="160" spans="2:13" s="326" customFormat="1">
      <c r="B160" s="328"/>
      <c r="C160" s="328"/>
      <c r="G160" s="329"/>
      <c r="H160" s="518"/>
      <c r="I160" s="515"/>
      <c r="J160" s="329"/>
      <c r="K160" s="329"/>
      <c r="L160" s="329"/>
      <c r="M160" s="329"/>
    </row>
    <row r="161" spans="2:13" s="326" customFormat="1">
      <c r="B161" s="328"/>
      <c r="C161" s="328"/>
      <c r="G161" s="329"/>
      <c r="H161" s="518"/>
      <c r="I161" s="515"/>
      <c r="J161" s="329"/>
      <c r="K161" s="329"/>
      <c r="L161" s="329"/>
      <c r="M161" s="329"/>
    </row>
    <row r="162" spans="2:13" s="326" customFormat="1">
      <c r="B162" s="328"/>
      <c r="C162" s="328"/>
      <c r="G162" s="329"/>
      <c r="H162" s="518"/>
      <c r="I162" s="515"/>
      <c r="J162" s="329"/>
      <c r="K162" s="329"/>
      <c r="L162" s="329"/>
      <c r="M162" s="329"/>
    </row>
    <row r="163" spans="2:13" s="326" customFormat="1">
      <c r="B163" s="328"/>
      <c r="C163" s="328"/>
      <c r="G163" s="329"/>
      <c r="H163" s="518"/>
      <c r="I163" s="515"/>
      <c r="J163" s="329"/>
      <c r="K163" s="329"/>
      <c r="L163" s="329"/>
      <c r="M163" s="329"/>
    </row>
    <row r="164" spans="2:13" s="326" customFormat="1">
      <c r="B164" s="328"/>
      <c r="C164" s="328"/>
      <c r="G164" s="329"/>
      <c r="H164" s="518"/>
      <c r="I164" s="515"/>
      <c r="J164" s="329"/>
      <c r="K164" s="329"/>
      <c r="L164" s="329"/>
      <c r="M164" s="329"/>
    </row>
    <row r="165" spans="2:13" s="326" customFormat="1">
      <c r="B165" s="328"/>
      <c r="C165" s="328"/>
      <c r="G165" s="329"/>
      <c r="H165" s="518"/>
      <c r="I165" s="515"/>
      <c r="J165" s="329"/>
      <c r="K165" s="329"/>
      <c r="L165" s="329"/>
      <c r="M165" s="329"/>
    </row>
    <row r="166" spans="2:13" s="326" customFormat="1">
      <c r="B166" s="328"/>
      <c r="C166" s="328"/>
      <c r="G166" s="329"/>
      <c r="H166" s="518"/>
      <c r="I166" s="515"/>
      <c r="J166" s="329"/>
      <c r="K166" s="329"/>
      <c r="L166" s="329"/>
      <c r="M166" s="329"/>
    </row>
    <row r="167" spans="2:13" s="326" customFormat="1">
      <c r="B167" s="328"/>
      <c r="C167" s="328"/>
      <c r="G167" s="329"/>
      <c r="H167" s="518"/>
      <c r="I167" s="515"/>
      <c r="J167" s="329"/>
      <c r="K167" s="329"/>
      <c r="L167" s="329"/>
      <c r="M167" s="329"/>
    </row>
    <row r="168" spans="2:13" s="326" customFormat="1">
      <c r="B168" s="328"/>
      <c r="C168" s="328"/>
      <c r="G168" s="329"/>
      <c r="H168" s="518"/>
      <c r="I168" s="515"/>
      <c r="J168" s="329"/>
      <c r="K168" s="329"/>
      <c r="L168" s="329"/>
      <c r="M168" s="329"/>
    </row>
    <row r="169" spans="2:13" s="326" customFormat="1">
      <c r="B169" s="328"/>
      <c r="C169" s="328"/>
      <c r="G169" s="329"/>
      <c r="H169" s="518"/>
      <c r="I169" s="515"/>
      <c r="J169" s="329"/>
      <c r="K169" s="329"/>
      <c r="L169" s="329"/>
      <c r="M169" s="329"/>
    </row>
    <row r="170" spans="2:13" s="326" customFormat="1">
      <c r="B170" s="328"/>
      <c r="C170" s="328"/>
      <c r="G170" s="329"/>
      <c r="H170" s="518"/>
      <c r="I170" s="515"/>
      <c r="J170" s="329"/>
      <c r="K170" s="329"/>
      <c r="L170" s="329"/>
      <c r="M170" s="329"/>
    </row>
    <row r="171" spans="2:13" s="326" customFormat="1">
      <c r="B171" s="328"/>
      <c r="C171" s="328"/>
      <c r="G171" s="329"/>
      <c r="H171" s="518"/>
      <c r="I171" s="515"/>
      <c r="J171" s="329"/>
      <c r="K171" s="329"/>
      <c r="L171" s="329"/>
      <c r="M171" s="329"/>
    </row>
    <row r="172" spans="2:13" s="326" customFormat="1">
      <c r="B172" s="328"/>
      <c r="C172" s="328"/>
      <c r="G172" s="329"/>
      <c r="H172" s="518"/>
      <c r="I172" s="515"/>
      <c r="J172" s="329"/>
      <c r="K172" s="329"/>
      <c r="L172" s="329"/>
      <c r="M172" s="329"/>
    </row>
    <row r="173" spans="2:13" s="326" customFormat="1">
      <c r="B173" s="328"/>
      <c r="C173" s="328"/>
      <c r="G173" s="329"/>
      <c r="H173" s="518"/>
      <c r="I173" s="515"/>
      <c r="J173" s="329"/>
      <c r="K173" s="329"/>
      <c r="L173" s="329"/>
      <c r="M173" s="329"/>
    </row>
    <row r="174" spans="2:13" s="326" customFormat="1">
      <c r="B174" s="328"/>
      <c r="C174" s="328"/>
      <c r="G174" s="329"/>
      <c r="H174" s="518"/>
      <c r="I174" s="515"/>
      <c r="J174" s="329"/>
      <c r="K174" s="329"/>
      <c r="L174" s="329"/>
      <c r="M174" s="329"/>
    </row>
    <row r="175" spans="2:13" s="326" customFormat="1">
      <c r="B175" s="328"/>
      <c r="C175" s="328"/>
      <c r="G175" s="329"/>
      <c r="H175" s="518"/>
      <c r="I175" s="515"/>
      <c r="J175" s="329"/>
      <c r="K175" s="329"/>
      <c r="L175" s="329"/>
      <c r="M175" s="329"/>
    </row>
    <row r="176" spans="2:13" s="326" customFormat="1">
      <c r="B176" s="328"/>
      <c r="C176" s="328"/>
      <c r="G176" s="329"/>
      <c r="H176" s="518"/>
      <c r="I176" s="515"/>
      <c r="J176" s="329"/>
      <c r="K176" s="329"/>
      <c r="L176" s="329"/>
      <c r="M176" s="329"/>
    </row>
    <row r="177" spans="2:13" s="326" customFormat="1">
      <c r="B177" s="328"/>
      <c r="C177" s="328"/>
      <c r="G177" s="329"/>
      <c r="H177" s="518"/>
      <c r="I177" s="515"/>
      <c r="J177" s="329"/>
      <c r="K177" s="329"/>
      <c r="L177" s="329"/>
      <c r="M177" s="329"/>
    </row>
    <row r="178" spans="2:13" s="326" customFormat="1">
      <c r="B178" s="328"/>
      <c r="C178" s="328"/>
      <c r="G178" s="329"/>
      <c r="H178" s="518"/>
      <c r="I178" s="515"/>
      <c r="J178" s="329"/>
      <c r="K178" s="329"/>
      <c r="L178" s="329"/>
      <c r="M178" s="329"/>
    </row>
    <row r="179" spans="2:13" s="326" customFormat="1">
      <c r="B179" s="328"/>
      <c r="C179" s="328"/>
      <c r="G179" s="329"/>
      <c r="H179" s="518"/>
      <c r="I179" s="515"/>
      <c r="J179" s="329"/>
      <c r="K179" s="329"/>
      <c r="L179" s="329"/>
      <c r="M179" s="329"/>
    </row>
    <row r="180" spans="2:13" s="326" customFormat="1">
      <c r="B180" s="328"/>
      <c r="C180" s="328"/>
      <c r="G180" s="329"/>
      <c r="H180" s="518"/>
      <c r="I180" s="515"/>
      <c r="J180" s="329"/>
      <c r="K180" s="329"/>
      <c r="L180" s="329"/>
      <c r="M180" s="329"/>
    </row>
    <row r="181" spans="2:13" s="326" customFormat="1">
      <c r="B181" s="328"/>
      <c r="C181" s="328"/>
      <c r="G181" s="329"/>
      <c r="H181" s="518"/>
      <c r="I181" s="515"/>
      <c r="J181" s="329"/>
      <c r="K181" s="329"/>
      <c r="L181" s="329"/>
      <c r="M181" s="329"/>
    </row>
    <row r="182" spans="2:13" s="326" customFormat="1">
      <c r="B182" s="328"/>
      <c r="C182" s="328"/>
      <c r="G182" s="329"/>
      <c r="H182" s="518"/>
      <c r="I182" s="515"/>
      <c r="J182" s="329"/>
      <c r="K182" s="329"/>
      <c r="L182" s="329"/>
      <c r="M182" s="329"/>
    </row>
    <row r="183" spans="2:13" s="326" customFormat="1">
      <c r="B183" s="328"/>
      <c r="C183" s="328"/>
      <c r="G183" s="329"/>
      <c r="H183" s="518"/>
      <c r="I183" s="515"/>
      <c r="J183" s="329"/>
      <c r="K183" s="329"/>
      <c r="L183" s="329"/>
      <c r="M183" s="329"/>
    </row>
    <row r="184" spans="2:13" s="326" customFormat="1">
      <c r="B184" s="328"/>
      <c r="C184" s="328"/>
      <c r="G184" s="329"/>
      <c r="H184" s="518"/>
      <c r="I184" s="515"/>
      <c r="J184" s="329"/>
      <c r="K184" s="329"/>
      <c r="L184" s="329"/>
      <c r="M184" s="329"/>
    </row>
    <row r="185" spans="2:13" s="326" customFormat="1">
      <c r="B185" s="328"/>
      <c r="C185" s="328"/>
      <c r="G185" s="329"/>
      <c r="H185" s="518"/>
      <c r="I185" s="515"/>
      <c r="J185" s="329"/>
      <c r="K185" s="329"/>
      <c r="L185" s="329"/>
      <c r="M185" s="329"/>
    </row>
    <row r="186" spans="2:13" s="326" customFormat="1">
      <c r="B186" s="328"/>
      <c r="C186" s="328"/>
      <c r="G186" s="329"/>
      <c r="H186" s="518"/>
      <c r="I186" s="515"/>
      <c r="J186" s="329"/>
      <c r="K186" s="329"/>
      <c r="L186" s="329"/>
      <c r="M186" s="329"/>
    </row>
    <row r="187" spans="2:13" s="326" customFormat="1">
      <c r="B187" s="328"/>
      <c r="C187" s="328"/>
      <c r="G187" s="329"/>
      <c r="H187" s="518"/>
      <c r="I187" s="515"/>
      <c r="J187" s="329"/>
      <c r="K187" s="329"/>
      <c r="L187" s="329"/>
      <c r="M187" s="329"/>
    </row>
    <row r="188" spans="2:13" s="326" customFormat="1">
      <c r="B188" s="328"/>
      <c r="C188" s="328"/>
      <c r="G188" s="329"/>
      <c r="H188" s="518"/>
      <c r="I188" s="515"/>
      <c r="J188" s="329"/>
      <c r="K188" s="329"/>
      <c r="L188" s="329"/>
      <c r="M188" s="329"/>
    </row>
    <row r="189" spans="2:13" s="326" customFormat="1">
      <c r="B189" s="328"/>
      <c r="C189" s="328"/>
      <c r="G189" s="329"/>
      <c r="H189" s="518"/>
      <c r="I189" s="515"/>
      <c r="J189" s="329"/>
      <c r="K189" s="329"/>
      <c r="L189" s="329"/>
      <c r="M189" s="329"/>
    </row>
    <row r="190" spans="2:13" s="326" customFormat="1">
      <c r="B190" s="328"/>
      <c r="C190" s="328"/>
      <c r="G190" s="329"/>
      <c r="H190" s="518"/>
      <c r="I190" s="515"/>
      <c r="J190" s="329"/>
      <c r="K190" s="329"/>
      <c r="L190" s="329"/>
      <c r="M190" s="329"/>
    </row>
    <row r="191" spans="2:13" s="326" customFormat="1">
      <c r="B191" s="328"/>
      <c r="C191" s="328"/>
      <c r="G191" s="329"/>
      <c r="H191" s="518"/>
      <c r="I191" s="515"/>
      <c r="J191" s="329"/>
      <c r="K191" s="329"/>
      <c r="L191" s="329"/>
      <c r="M191" s="329"/>
    </row>
    <row r="192" spans="2:13" s="326" customFormat="1">
      <c r="B192" s="328"/>
      <c r="C192" s="328"/>
      <c r="G192" s="329"/>
      <c r="H192" s="518"/>
      <c r="I192" s="515"/>
      <c r="J192" s="329"/>
      <c r="K192" s="329"/>
      <c r="L192" s="329"/>
      <c r="M192" s="329"/>
    </row>
    <row r="193" spans="2:13" s="326" customFormat="1">
      <c r="B193" s="328"/>
      <c r="C193" s="328"/>
      <c r="G193" s="329"/>
      <c r="H193" s="518"/>
      <c r="I193" s="515"/>
      <c r="J193" s="329"/>
      <c r="K193" s="329"/>
      <c r="L193" s="329"/>
      <c r="M193" s="329"/>
    </row>
    <row r="194" spans="2:13" s="326" customFormat="1">
      <c r="B194" s="328"/>
      <c r="C194" s="328"/>
      <c r="G194" s="329"/>
      <c r="H194" s="518"/>
      <c r="I194" s="515"/>
      <c r="J194" s="329"/>
      <c r="K194" s="329"/>
      <c r="L194" s="329"/>
      <c r="M194" s="329"/>
    </row>
    <row r="195" spans="2:13" s="326" customFormat="1">
      <c r="B195" s="328"/>
      <c r="C195" s="328"/>
      <c r="G195" s="329"/>
      <c r="H195" s="518"/>
      <c r="I195" s="515"/>
      <c r="J195" s="329"/>
      <c r="K195" s="329"/>
      <c r="L195" s="329"/>
      <c r="M195" s="329"/>
    </row>
    <row r="196" spans="2:13" s="326" customFormat="1">
      <c r="B196" s="328"/>
      <c r="C196" s="328"/>
      <c r="G196" s="329"/>
      <c r="H196" s="518"/>
      <c r="I196" s="515"/>
      <c r="J196" s="329"/>
      <c r="K196" s="329"/>
      <c r="L196" s="329"/>
      <c r="M196" s="329"/>
    </row>
    <row r="197" spans="2:13" s="326" customFormat="1">
      <c r="B197" s="328"/>
      <c r="C197" s="328"/>
      <c r="G197" s="329"/>
      <c r="H197" s="518"/>
      <c r="I197" s="515"/>
      <c r="J197" s="329"/>
      <c r="K197" s="329"/>
      <c r="L197" s="329"/>
      <c r="M197" s="329"/>
    </row>
    <row r="198" spans="2:13" s="326" customFormat="1">
      <c r="B198" s="328"/>
      <c r="C198" s="328"/>
      <c r="G198" s="329"/>
      <c r="H198" s="518"/>
      <c r="I198" s="515"/>
      <c r="J198" s="329"/>
      <c r="K198" s="329"/>
      <c r="L198" s="329"/>
      <c r="M198" s="329"/>
    </row>
    <row r="199" spans="2:13" s="326" customFormat="1">
      <c r="B199" s="328"/>
      <c r="C199" s="328"/>
      <c r="G199" s="329"/>
      <c r="H199" s="518"/>
      <c r="I199" s="515"/>
      <c r="J199" s="329"/>
      <c r="K199" s="329"/>
      <c r="L199" s="329"/>
      <c r="M199" s="329"/>
    </row>
    <row r="200" spans="2:13" s="326" customFormat="1">
      <c r="B200" s="328"/>
      <c r="C200" s="328"/>
      <c r="G200" s="329"/>
      <c r="H200" s="518"/>
      <c r="I200" s="515"/>
      <c r="J200" s="329"/>
      <c r="K200" s="329"/>
      <c r="L200" s="329"/>
      <c r="M200" s="329"/>
    </row>
    <row r="201" spans="2:13" s="326" customFormat="1">
      <c r="B201" s="328"/>
      <c r="C201" s="328"/>
      <c r="G201" s="329"/>
      <c r="H201" s="518"/>
      <c r="I201" s="515"/>
      <c r="J201" s="329"/>
      <c r="K201" s="329"/>
      <c r="L201" s="329"/>
      <c r="M201" s="329"/>
    </row>
    <row r="202" spans="2:13" s="326" customFormat="1">
      <c r="B202" s="328"/>
      <c r="C202" s="328"/>
      <c r="G202" s="329"/>
      <c r="H202" s="518"/>
      <c r="I202" s="515"/>
      <c r="J202" s="329"/>
      <c r="K202" s="329"/>
      <c r="L202" s="329"/>
      <c r="M202" s="329"/>
    </row>
    <row r="203" spans="2:13" s="326" customFormat="1">
      <c r="B203" s="328"/>
      <c r="C203" s="328"/>
      <c r="G203" s="329"/>
      <c r="H203" s="518"/>
      <c r="I203" s="515"/>
      <c r="J203" s="329"/>
      <c r="K203" s="329"/>
      <c r="L203" s="329"/>
      <c r="M203" s="329"/>
    </row>
    <row r="204" spans="2:13" s="326" customFormat="1">
      <c r="B204" s="328"/>
      <c r="C204" s="328"/>
      <c r="G204" s="329"/>
      <c r="H204" s="518"/>
      <c r="I204" s="515"/>
      <c r="J204" s="329"/>
      <c r="K204" s="329"/>
      <c r="L204" s="329"/>
      <c r="M204" s="329"/>
    </row>
    <row r="205" spans="2:13" s="326" customFormat="1">
      <c r="B205" s="328"/>
      <c r="C205" s="328"/>
      <c r="G205" s="329"/>
      <c r="H205" s="518"/>
      <c r="I205" s="515"/>
      <c r="J205" s="329"/>
      <c r="K205" s="329"/>
      <c r="L205" s="329"/>
      <c r="M205" s="329"/>
    </row>
    <row r="206" spans="2:13" s="326" customFormat="1">
      <c r="B206" s="328"/>
      <c r="C206" s="328"/>
      <c r="G206" s="329"/>
      <c r="H206" s="518"/>
      <c r="I206" s="515"/>
      <c r="J206" s="329"/>
      <c r="K206" s="329"/>
      <c r="L206" s="329"/>
      <c r="M206" s="329"/>
    </row>
    <row r="207" spans="2:13" s="326" customFormat="1">
      <c r="B207" s="328"/>
      <c r="C207" s="328"/>
      <c r="G207" s="329"/>
      <c r="H207" s="518"/>
      <c r="I207" s="515"/>
      <c r="J207" s="329"/>
      <c r="K207" s="329"/>
      <c r="L207" s="329"/>
      <c r="M207" s="329"/>
    </row>
    <row r="208" spans="2:13" s="326" customFormat="1">
      <c r="B208" s="328"/>
      <c r="C208" s="328"/>
      <c r="G208" s="329"/>
      <c r="H208" s="518"/>
      <c r="I208" s="515"/>
      <c r="J208" s="329"/>
      <c r="K208" s="329"/>
      <c r="L208" s="329"/>
      <c r="M208" s="329"/>
    </row>
    <row r="209" spans="2:13" s="326" customFormat="1">
      <c r="B209" s="328"/>
      <c r="C209" s="328"/>
      <c r="G209" s="329"/>
      <c r="H209" s="518"/>
      <c r="I209" s="515"/>
      <c r="J209" s="329"/>
      <c r="K209" s="329"/>
      <c r="L209" s="329"/>
      <c r="M209" s="329"/>
    </row>
    <row r="210" spans="2:13" s="326" customFormat="1">
      <c r="B210" s="328"/>
      <c r="C210" s="328"/>
      <c r="G210" s="329"/>
      <c r="H210" s="518"/>
      <c r="I210" s="515"/>
      <c r="J210" s="329"/>
      <c r="K210" s="329"/>
      <c r="L210" s="329"/>
      <c r="M210" s="329"/>
    </row>
    <row r="211" spans="2:13" s="326" customFormat="1">
      <c r="B211" s="328"/>
      <c r="C211" s="328"/>
      <c r="G211" s="329"/>
      <c r="H211" s="518"/>
      <c r="I211" s="515"/>
      <c r="J211" s="329"/>
      <c r="K211" s="329"/>
      <c r="L211" s="329"/>
      <c r="M211" s="329"/>
    </row>
    <row r="212" spans="2:13" s="326" customFormat="1">
      <c r="B212" s="328"/>
      <c r="C212" s="328"/>
      <c r="G212" s="329"/>
      <c r="H212" s="518"/>
      <c r="I212" s="515"/>
      <c r="J212" s="329"/>
      <c r="K212" s="329"/>
      <c r="L212" s="329"/>
      <c r="M212" s="329"/>
    </row>
    <row r="213" spans="2:13" s="326" customFormat="1">
      <c r="B213" s="328"/>
      <c r="C213" s="328"/>
      <c r="G213" s="329"/>
      <c r="H213" s="518"/>
      <c r="I213" s="515"/>
      <c r="J213" s="329"/>
      <c r="K213" s="329"/>
      <c r="L213" s="329"/>
      <c r="M213" s="329"/>
    </row>
    <row r="214" spans="2:13" s="326" customFormat="1">
      <c r="B214" s="328"/>
      <c r="C214" s="328"/>
      <c r="G214" s="329"/>
      <c r="H214" s="518"/>
      <c r="I214" s="515"/>
      <c r="J214" s="329"/>
      <c r="K214" s="329"/>
      <c r="L214" s="329"/>
      <c r="M214" s="329"/>
    </row>
    <row r="215" spans="2:13" s="326" customFormat="1">
      <c r="B215" s="328"/>
      <c r="C215" s="328"/>
      <c r="G215" s="329"/>
      <c r="H215" s="518"/>
      <c r="I215" s="515"/>
      <c r="J215" s="329"/>
      <c r="K215" s="329"/>
      <c r="L215" s="329"/>
      <c r="M215" s="329"/>
    </row>
    <row r="216" spans="2:13" s="326" customFormat="1">
      <c r="B216" s="328"/>
      <c r="C216" s="328"/>
      <c r="G216" s="329"/>
      <c r="H216" s="518"/>
      <c r="I216" s="515"/>
      <c r="J216" s="329"/>
      <c r="K216" s="329"/>
      <c r="L216" s="329"/>
      <c r="M216" s="329"/>
    </row>
    <row r="217" spans="2:13" s="326" customFormat="1">
      <c r="B217" s="328"/>
      <c r="C217" s="328"/>
      <c r="G217" s="329"/>
      <c r="H217" s="518"/>
      <c r="I217" s="515"/>
      <c r="J217" s="329"/>
      <c r="K217" s="329"/>
      <c r="L217" s="329"/>
      <c r="M217" s="329"/>
    </row>
    <row r="218" spans="2:13" s="326" customFormat="1">
      <c r="B218" s="328"/>
      <c r="C218" s="328"/>
      <c r="G218" s="329"/>
      <c r="H218" s="518"/>
      <c r="I218" s="515"/>
      <c r="J218" s="329"/>
      <c r="K218" s="329"/>
      <c r="L218" s="329"/>
      <c r="M218" s="329"/>
    </row>
    <row r="219" spans="2:13" s="326" customFormat="1">
      <c r="B219" s="328"/>
      <c r="C219" s="328"/>
      <c r="G219" s="329"/>
      <c r="H219" s="518"/>
      <c r="I219" s="515"/>
      <c r="J219" s="329"/>
      <c r="K219" s="329"/>
      <c r="L219" s="329"/>
      <c r="M219" s="329"/>
    </row>
    <row r="220" spans="2:13" s="326" customFormat="1">
      <c r="B220" s="328"/>
      <c r="C220" s="328"/>
      <c r="G220" s="329"/>
      <c r="H220" s="518"/>
      <c r="I220" s="515"/>
      <c r="J220" s="329"/>
      <c r="K220" s="329"/>
      <c r="L220" s="329"/>
      <c r="M220" s="329"/>
    </row>
    <row r="221" spans="2:13" s="326" customFormat="1">
      <c r="B221" s="328"/>
      <c r="C221" s="328"/>
      <c r="G221" s="329"/>
      <c r="H221" s="518"/>
      <c r="I221" s="515"/>
      <c r="J221" s="329"/>
      <c r="K221" s="329"/>
      <c r="L221" s="329"/>
      <c r="M221" s="329"/>
    </row>
    <row r="222" spans="2:13" s="326" customFormat="1">
      <c r="B222" s="328"/>
      <c r="C222" s="328"/>
      <c r="G222" s="329"/>
      <c r="H222" s="518"/>
      <c r="I222" s="515"/>
      <c r="J222" s="329"/>
      <c r="K222" s="329"/>
      <c r="L222" s="329"/>
      <c r="M222" s="329"/>
    </row>
    <row r="223" spans="2:13" s="326" customFormat="1">
      <c r="B223" s="328"/>
      <c r="C223" s="328"/>
      <c r="G223" s="329"/>
      <c r="H223" s="518"/>
      <c r="I223" s="515"/>
      <c r="J223" s="329"/>
      <c r="K223" s="329"/>
      <c r="L223" s="329"/>
      <c r="M223" s="329"/>
    </row>
    <row r="224" spans="2:13" s="326" customFormat="1">
      <c r="B224" s="328"/>
      <c r="C224" s="328"/>
      <c r="G224" s="329"/>
      <c r="H224" s="518"/>
      <c r="I224" s="515"/>
      <c r="J224" s="329"/>
      <c r="K224" s="329"/>
      <c r="L224" s="329"/>
      <c r="M224" s="329"/>
    </row>
    <row r="225" spans="2:13" s="326" customFormat="1">
      <c r="B225" s="328"/>
      <c r="C225" s="328"/>
      <c r="G225" s="329"/>
      <c r="H225" s="518"/>
      <c r="I225" s="515"/>
      <c r="J225" s="329"/>
      <c r="K225" s="329"/>
      <c r="L225" s="329"/>
      <c r="M225" s="329"/>
    </row>
    <row r="226" spans="2:13" s="326" customFormat="1">
      <c r="B226" s="328"/>
      <c r="C226" s="328"/>
      <c r="G226" s="329"/>
      <c r="H226" s="518"/>
      <c r="I226" s="515"/>
      <c r="J226" s="329"/>
      <c r="K226" s="329"/>
      <c r="L226" s="329"/>
      <c r="M226" s="329"/>
    </row>
    <row r="227" spans="2:13" s="326" customFormat="1">
      <c r="B227" s="328"/>
      <c r="C227" s="328"/>
      <c r="G227" s="329"/>
      <c r="H227" s="518"/>
      <c r="I227" s="515"/>
      <c r="J227" s="329"/>
      <c r="K227" s="329"/>
      <c r="L227" s="329"/>
      <c r="M227" s="329"/>
    </row>
    <row r="228" spans="2:13" s="326" customFormat="1">
      <c r="B228" s="328"/>
      <c r="C228" s="328"/>
      <c r="G228" s="329"/>
      <c r="H228" s="518"/>
      <c r="I228" s="515"/>
      <c r="J228" s="329"/>
      <c r="K228" s="329"/>
      <c r="L228" s="329"/>
      <c r="M228" s="329"/>
    </row>
    <row r="229" spans="2:13" s="326" customFormat="1">
      <c r="B229" s="328"/>
      <c r="C229" s="328"/>
      <c r="G229" s="329"/>
      <c r="H229" s="518"/>
      <c r="I229" s="515"/>
      <c r="J229" s="329"/>
      <c r="K229" s="329"/>
      <c r="L229" s="329"/>
      <c r="M229" s="329"/>
    </row>
    <row r="230" spans="2:13" s="326" customFormat="1">
      <c r="B230" s="328"/>
      <c r="C230" s="328"/>
      <c r="G230" s="329"/>
      <c r="H230" s="518"/>
      <c r="I230" s="515"/>
      <c r="J230" s="329"/>
      <c r="K230" s="329"/>
      <c r="L230" s="329"/>
      <c r="M230" s="329"/>
    </row>
    <row r="231" spans="2:13" s="326" customFormat="1">
      <c r="B231" s="328"/>
      <c r="C231" s="328"/>
      <c r="G231" s="329"/>
      <c r="H231" s="518"/>
      <c r="I231" s="515"/>
      <c r="J231" s="329"/>
      <c r="K231" s="329"/>
      <c r="L231" s="329"/>
      <c r="M231" s="329"/>
    </row>
    <row r="232" spans="2:13" s="326" customFormat="1">
      <c r="B232" s="328"/>
      <c r="C232" s="328"/>
      <c r="G232" s="329"/>
      <c r="H232" s="518"/>
      <c r="I232" s="515"/>
      <c r="J232" s="329"/>
      <c r="K232" s="329"/>
      <c r="L232" s="329"/>
      <c r="M232" s="329"/>
    </row>
    <row r="233" spans="2:13" s="326" customFormat="1">
      <c r="B233" s="328"/>
      <c r="C233" s="328"/>
      <c r="G233" s="329"/>
      <c r="H233" s="518"/>
      <c r="I233" s="515"/>
      <c r="J233" s="329"/>
      <c r="K233" s="329"/>
      <c r="L233" s="329"/>
      <c r="M233" s="329"/>
    </row>
    <row r="234" spans="2:13" s="326" customFormat="1">
      <c r="B234" s="328"/>
      <c r="C234" s="328"/>
      <c r="G234" s="329"/>
      <c r="H234" s="518"/>
      <c r="I234" s="515"/>
      <c r="J234" s="329"/>
      <c r="K234" s="329"/>
      <c r="L234" s="329"/>
      <c r="M234" s="329"/>
    </row>
    <row r="235" spans="2:13" s="326" customFormat="1">
      <c r="B235" s="328"/>
      <c r="C235" s="328"/>
      <c r="G235" s="329"/>
      <c r="H235" s="518"/>
      <c r="I235" s="515"/>
      <c r="J235" s="329"/>
      <c r="K235" s="329"/>
      <c r="L235" s="329"/>
      <c r="M235" s="329"/>
    </row>
    <row r="236" spans="2:13" s="326" customFormat="1">
      <c r="B236" s="328"/>
      <c r="C236" s="328"/>
      <c r="G236" s="329"/>
      <c r="H236" s="518"/>
      <c r="I236" s="515"/>
      <c r="J236" s="329"/>
      <c r="K236" s="329"/>
      <c r="L236" s="329"/>
      <c r="M236" s="329"/>
    </row>
    <row r="237" spans="2:13" s="326" customFormat="1">
      <c r="B237" s="328"/>
      <c r="C237" s="328"/>
      <c r="G237" s="329"/>
      <c r="H237" s="518"/>
      <c r="I237" s="515"/>
      <c r="J237" s="329"/>
      <c r="K237" s="329"/>
      <c r="L237" s="329"/>
      <c r="M237" s="329"/>
    </row>
    <row r="238" spans="2:13" s="326" customFormat="1">
      <c r="B238" s="328"/>
      <c r="C238" s="328"/>
      <c r="G238" s="329"/>
      <c r="H238" s="518"/>
      <c r="I238" s="515"/>
      <c r="J238" s="329"/>
      <c r="K238" s="329"/>
      <c r="L238" s="329"/>
      <c r="M238" s="329"/>
    </row>
    <row r="239" spans="2:13" s="326" customFormat="1">
      <c r="B239" s="328"/>
      <c r="C239" s="328"/>
      <c r="G239" s="329"/>
      <c r="H239" s="518"/>
      <c r="I239" s="515"/>
      <c r="J239" s="329"/>
      <c r="K239" s="329"/>
      <c r="L239" s="329"/>
      <c r="M239" s="329"/>
    </row>
    <row r="240" spans="2:13" s="326" customFormat="1">
      <c r="B240" s="328"/>
      <c r="C240" s="328"/>
      <c r="G240" s="329"/>
      <c r="H240" s="518"/>
      <c r="I240" s="515"/>
      <c r="J240" s="329"/>
      <c r="K240" s="329"/>
      <c r="L240" s="329"/>
      <c r="M240" s="329"/>
    </row>
    <row r="241" spans="2:13" s="326" customFormat="1">
      <c r="B241" s="328"/>
      <c r="C241" s="328"/>
      <c r="G241" s="329"/>
      <c r="H241" s="518"/>
      <c r="I241" s="515"/>
      <c r="J241" s="329"/>
      <c r="K241" s="329"/>
      <c r="L241" s="329"/>
      <c r="M241" s="329"/>
    </row>
    <row r="242" spans="2:13" s="326" customFormat="1">
      <c r="B242" s="328"/>
      <c r="C242" s="328"/>
      <c r="G242" s="329"/>
      <c r="H242" s="518"/>
      <c r="I242" s="515"/>
      <c r="J242" s="329"/>
      <c r="K242" s="329"/>
      <c r="L242" s="329"/>
      <c r="M242" s="329"/>
    </row>
    <row r="243" spans="2:13" s="326" customFormat="1">
      <c r="B243" s="328"/>
      <c r="C243" s="328"/>
      <c r="G243" s="329"/>
      <c r="H243" s="518"/>
      <c r="I243" s="515"/>
      <c r="J243" s="329"/>
      <c r="K243" s="329"/>
      <c r="L243" s="329"/>
      <c r="M243" s="329"/>
    </row>
    <row r="244" spans="2:13" s="326" customFormat="1">
      <c r="B244" s="328"/>
      <c r="C244" s="328"/>
      <c r="G244" s="329"/>
      <c r="H244" s="518"/>
      <c r="I244" s="515"/>
      <c r="J244" s="329"/>
      <c r="K244" s="329"/>
      <c r="L244" s="329"/>
      <c r="M244" s="329"/>
    </row>
    <row r="245" spans="2:13" s="326" customFormat="1">
      <c r="B245" s="328"/>
      <c r="C245" s="328"/>
      <c r="G245" s="329"/>
      <c r="H245" s="518"/>
      <c r="I245" s="515"/>
      <c r="J245" s="329"/>
      <c r="K245" s="329"/>
      <c r="L245" s="329"/>
      <c r="M245" s="329"/>
    </row>
    <row r="246" spans="2:13" s="326" customFormat="1">
      <c r="B246" s="328"/>
      <c r="C246" s="328"/>
      <c r="G246" s="329"/>
      <c r="H246" s="518"/>
      <c r="I246" s="515"/>
      <c r="J246" s="329"/>
      <c r="K246" s="329"/>
      <c r="L246" s="329"/>
      <c r="M246" s="329"/>
    </row>
    <row r="247" spans="2:13" s="326" customFormat="1">
      <c r="B247" s="328"/>
      <c r="C247" s="328"/>
      <c r="G247" s="329"/>
      <c r="H247" s="518"/>
      <c r="I247" s="515"/>
      <c r="J247" s="329"/>
      <c r="K247" s="329"/>
      <c r="L247" s="329"/>
      <c r="M247" s="329"/>
    </row>
    <row r="248" spans="2:13" s="326" customFormat="1">
      <c r="B248" s="328"/>
      <c r="C248" s="328"/>
      <c r="G248" s="329"/>
      <c r="H248" s="518"/>
      <c r="I248" s="515"/>
      <c r="J248" s="329"/>
      <c r="K248" s="329"/>
      <c r="L248" s="329"/>
      <c r="M248" s="329"/>
    </row>
    <row r="249" spans="2:13" s="326" customFormat="1">
      <c r="B249" s="328"/>
      <c r="C249" s="328"/>
      <c r="G249" s="329"/>
      <c r="H249" s="518"/>
      <c r="I249" s="515"/>
      <c r="J249" s="329"/>
      <c r="K249" s="329"/>
      <c r="L249" s="329"/>
      <c r="M249" s="329"/>
    </row>
    <row r="250" spans="2:13" s="326" customFormat="1">
      <c r="B250" s="328"/>
      <c r="C250" s="328"/>
      <c r="G250" s="329"/>
      <c r="H250" s="518"/>
      <c r="I250" s="515"/>
      <c r="J250" s="329"/>
      <c r="K250" s="329"/>
      <c r="L250" s="329"/>
      <c r="M250" s="329"/>
    </row>
    <row r="251" spans="2:13" s="326" customFormat="1">
      <c r="B251" s="328"/>
      <c r="C251" s="328"/>
      <c r="G251" s="329"/>
      <c r="H251" s="518"/>
      <c r="I251" s="515"/>
      <c r="J251" s="329"/>
      <c r="K251" s="329"/>
      <c r="L251" s="329"/>
      <c r="M251" s="329"/>
    </row>
    <row r="252" spans="2:13" s="326" customFormat="1">
      <c r="B252" s="328"/>
      <c r="C252" s="328"/>
      <c r="G252" s="329"/>
      <c r="H252" s="518"/>
      <c r="I252" s="515"/>
      <c r="J252" s="329"/>
      <c r="K252" s="329"/>
      <c r="L252" s="329"/>
      <c r="M252" s="329"/>
    </row>
    <row r="253" spans="2:13" s="326" customFormat="1">
      <c r="B253" s="328"/>
      <c r="C253" s="328"/>
      <c r="G253" s="329"/>
      <c r="H253" s="518"/>
      <c r="I253" s="515"/>
      <c r="J253" s="329"/>
      <c r="K253" s="329"/>
      <c r="L253" s="329"/>
      <c r="M253" s="329"/>
    </row>
    <row r="254" spans="2:13" s="326" customFormat="1">
      <c r="B254" s="328"/>
      <c r="C254" s="328"/>
      <c r="G254" s="329"/>
      <c r="H254" s="518"/>
      <c r="I254" s="515"/>
      <c r="J254" s="329"/>
      <c r="K254" s="329"/>
      <c r="L254" s="329"/>
      <c r="M254" s="329"/>
    </row>
    <row r="255" spans="2:13" s="326" customFormat="1">
      <c r="B255" s="328"/>
      <c r="C255" s="328"/>
      <c r="G255" s="329"/>
      <c r="H255" s="518"/>
      <c r="I255" s="515"/>
      <c r="J255" s="329"/>
      <c r="K255" s="329"/>
      <c r="L255" s="329"/>
      <c r="M255" s="329"/>
    </row>
    <row r="256" spans="2:13" s="326" customFormat="1">
      <c r="B256" s="328"/>
      <c r="C256" s="328"/>
      <c r="G256" s="329"/>
      <c r="H256" s="518"/>
      <c r="I256" s="515"/>
      <c r="J256" s="329"/>
      <c r="K256" s="329"/>
      <c r="L256" s="329"/>
      <c r="M256" s="329"/>
    </row>
    <row r="257" spans="2:13" s="326" customFormat="1">
      <c r="B257" s="328"/>
      <c r="C257" s="328"/>
      <c r="G257" s="329"/>
      <c r="H257" s="518"/>
      <c r="I257" s="515"/>
      <c r="J257" s="329"/>
      <c r="K257" s="329"/>
      <c r="L257" s="329"/>
      <c r="M257" s="329"/>
    </row>
    <row r="258" spans="2:13" s="326" customFormat="1">
      <c r="B258" s="328"/>
      <c r="C258" s="328"/>
      <c r="G258" s="329"/>
      <c r="H258" s="518"/>
      <c r="I258" s="515"/>
      <c r="J258" s="329"/>
      <c r="K258" s="329"/>
      <c r="L258" s="329"/>
      <c r="M258" s="329"/>
    </row>
    <row r="259" spans="2:13" s="326" customFormat="1">
      <c r="B259" s="328"/>
      <c r="C259" s="328"/>
      <c r="G259" s="329"/>
      <c r="H259" s="518"/>
      <c r="I259" s="515"/>
      <c r="J259" s="329"/>
      <c r="K259" s="329"/>
      <c r="L259" s="329"/>
      <c r="M259" s="329"/>
    </row>
    <row r="260" spans="2:13" s="326" customFormat="1">
      <c r="B260" s="328"/>
      <c r="C260" s="328"/>
      <c r="G260" s="329"/>
      <c r="H260" s="518"/>
      <c r="I260" s="515"/>
      <c r="J260" s="329"/>
      <c r="K260" s="329"/>
      <c r="L260" s="329"/>
      <c r="M260" s="329"/>
    </row>
    <row r="261" spans="2:13" s="326" customFormat="1">
      <c r="B261" s="328"/>
      <c r="C261" s="328"/>
      <c r="G261" s="329"/>
      <c r="H261" s="518"/>
      <c r="I261" s="515"/>
      <c r="J261" s="329"/>
      <c r="K261" s="329"/>
      <c r="L261" s="329"/>
      <c r="M261" s="329"/>
    </row>
    <row r="262" spans="2:13" s="326" customFormat="1">
      <c r="B262" s="328"/>
      <c r="C262" s="328"/>
      <c r="G262" s="329"/>
      <c r="H262" s="518"/>
      <c r="I262" s="515"/>
      <c r="J262" s="329"/>
      <c r="K262" s="329"/>
      <c r="L262" s="329"/>
      <c r="M262" s="329"/>
    </row>
    <row r="263" spans="2:13" s="326" customFormat="1">
      <c r="B263" s="328"/>
      <c r="C263" s="328"/>
      <c r="G263" s="329"/>
      <c r="H263" s="518"/>
      <c r="I263" s="515"/>
      <c r="J263" s="329"/>
      <c r="K263" s="329"/>
      <c r="L263" s="329"/>
      <c r="M263" s="329"/>
    </row>
    <row r="264" spans="2:13" s="326" customFormat="1">
      <c r="B264" s="328"/>
      <c r="C264" s="328"/>
      <c r="G264" s="329"/>
      <c r="H264" s="518"/>
      <c r="I264" s="515"/>
      <c r="J264" s="329"/>
      <c r="K264" s="329"/>
      <c r="L264" s="329"/>
      <c r="M264" s="329"/>
    </row>
    <row r="265" spans="2:13" s="326" customFormat="1">
      <c r="B265" s="328"/>
      <c r="C265" s="328"/>
      <c r="G265" s="329"/>
      <c r="H265" s="518"/>
      <c r="I265" s="515"/>
      <c r="J265" s="329"/>
      <c r="K265" s="329"/>
      <c r="L265" s="329"/>
      <c r="M265" s="329"/>
    </row>
    <row r="266" spans="2:13" s="326" customFormat="1">
      <c r="B266" s="328"/>
      <c r="C266" s="328"/>
      <c r="G266" s="329"/>
      <c r="H266" s="518"/>
      <c r="I266" s="515"/>
      <c r="J266" s="329"/>
      <c r="K266" s="329"/>
      <c r="L266" s="329"/>
      <c r="M266" s="329"/>
    </row>
    <row r="267" spans="2:13" s="326" customFormat="1">
      <c r="B267" s="328"/>
      <c r="C267" s="328"/>
      <c r="G267" s="329"/>
      <c r="H267" s="518"/>
      <c r="I267" s="515"/>
      <c r="J267" s="329"/>
      <c r="K267" s="329"/>
      <c r="L267" s="329"/>
      <c r="M267" s="329"/>
    </row>
    <row r="268" spans="2:13" s="326" customFormat="1">
      <c r="B268" s="328"/>
      <c r="C268" s="328"/>
      <c r="G268" s="329"/>
      <c r="H268" s="518"/>
      <c r="I268" s="515"/>
      <c r="J268" s="329"/>
      <c r="K268" s="329"/>
      <c r="L268" s="329"/>
      <c r="M268" s="329"/>
    </row>
    <row r="269" spans="2:13" s="326" customFormat="1">
      <c r="B269" s="328"/>
      <c r="C269" s="328"/>
      <c r="G269" s="329"/>
      <c r="H269" s="518"/>
      <c r="I269" s="515"/>
      <c r="J269" s="329"/>
      <c r="K269" s="329"/>
      <c r="L269" s="329"/>
      <c r="M269" s="329"/>
    </row>
    <row r="270" spans="2:13" s="326" customFormat="1">
      <c r="B270" s="328"/>
      <c r="C270" s="328"/>
      <c r="G270" s="329"/>
      <c r="H270" s="518"/>
      <c r="I270" s="515"/>
      <c r="J270" s="329"/>
      <c r="K270" s="329"/>
      <c r="L270" s="329"/>
      <c r="M270" s="329"/>
    </row>
    <row r="271" spans="2:13" s="326" customFormat="1">
      <c r="B271" s="328"/>
      <c r="C271" s="328"/>
      <c r="G271" s="329"/>
      <c r="H271" s="518"/>
      <c r="I271" s="515"/>
      <c r="J271" s="329"/>
      <c r="K271" s="329"/>
      <c r="L271" s="329"/>
      <c r="M271" s="329"/>
    </row>
    <row r="272" spans="2:13" s="326" customFormat="1">
      <c r="B272" s="328"/>
      <c r="C272" s="328"/>
      <c r="G272" s="329"/>
      <c r="H272" s="518"/>
      <c r="I272" s="515"/>
      <c r="J272" s="329"/>
      <c r="K272" s="329"/>
      <c r="L272" s="329"/>
      <c r="M272" s="329"/>
    </row>
    <row r="273" spans="2:13" s="326" customFormat="1">
      <c r="B273" s="328"/>
      <c r="C273" s="328"/>
      <c r="G273" s="329"/>
      <c r="H273" s="518"/>
      <c r="I273" s="515"/>
      <c r="J273" s="329"/>
      <c r="K273" s="329"/>
      <c r="L273" s="329"/>
      <c r="M273" s="329"/>
    </row>
    <row r="274" spans="2:13" s="326" customFormat="1">
      <c r="B274" s="328"/>
      <c r="C274" s="328"/>
      <c r="G274" s="329"/>
      <c r="H274" s="518"/>
      <c r="I274" s="515"/>
      <c r="J274" s="329"/>
      <c r="K274" s="329"/>
      <c r="L274" s="329"/>
      <c r="M274" s="329"/>
    </row>
    <row r="275" spans="2:13" s="326" customFormat="1">
      <c r="B275" s="328"/>
      <c r="C275" s="328"/>
      <c r="G275" s="329"/>
      <c r="H275" s="518"/>
      <c r="I275" s="515"/>
      <c r="J275" s="329"/>
      <c r="K275" s="329"/>
      <c r="L275" s="329"/>
      <c r="M275" s="329"/>
    </row>
    <row r="276" spans="2:13" s="326" customFormat="1">
      <c r="B276" s="328"/>
      <c r="C276" s="328"/>
      <c r="G276" s="329"/>
      <c r="H276" s="518"/>
      <c r="I276" s="515"/>
      <c r="J276" s="329"/>
      <c r="K276" s="329"/>
      <c r="L276" s="329"/>
      <c r="M276" s="329"/>
    </row>
    <row r="277" spans="2:13" s="326" customFormat="1">
      <c r="B277" s="328"/>
      <c r="C277" s="328"/>
      <c r="G277" s="329"/>
      <c r="H277" s="518"/>
      <c r="I277" s="515"/>
      <c r="J277" s="329"/>
      <c r="K277" s="329"/>
      <c r="L277" s="329"/>
      <c r="M277" s="329"/>
    </row>
    <row r="278" spans="2:13" s="326" customFormat="1">
      <c r="B278" s="328"/>
      <c r="C278" s="328"/>
      <c r="G278" s="329"/>
      <c r="H278" s="518"/>
      <c r="I278" s="515"/>
      <c r="J278" s="329"/>
      <c r="K278" s="329"/>
      <c r="L278" s="329"/>
      <c r="M278" s="329"/>
    </row>
    <row r="279" spans="2:13" s="326" customFormat="1">
      <c r="B279" s="328"/>
      <c r="C279" s="328"/>
      <c r="G279" s="329"/>
      <c r="H279" s="518"/>
      <c r="I279" s="515"/>
      <c r="J279" s="329"/>
      <c r="K279" s="329"/>
      <c r="L279" s="329"/>
      <c r="M279" s="329"/>
    </row>
    <row r="280" spans="2:13" s="326" customFormat="1">
      <c r="B280" s="328"/>
      <c r="C280" s="328"/>
      <c r="G280" s="329"/>
      <c r="H280" s="518"/>
      <c r="I280" s="515"/>
      <c r="J280" s="329"/>
      <c r="K280" s="329"/>
      <c r="L280" s="329"/>
      <c r="M280" s="329"/>
    </row>
    <row r="281" spans="2:13" s="326" customFormat="1">
      <c r="B281" s="328"/>
      <c r="C281" s="328"/>
      <c r="G281" s="329"/>
      <c r="H281" s="518"/>
      <c r="I281" s="515"/>
      <c r="J281" s="329"/>
      <c r="K281" s="329"/>
      <c r="L281" s="329"/>
      <c r="M281" s="329"/>
    </row>
    <row r="282" spans="2:13" s="326" customFormat="1">
      <c r="B282" s="328"/>
      <c r="C282" s="328"/>
      <c r="G282" s="329"/>
      <c r="H282" s="518"/>
      <c r="I282" s="515"/>
      <c r="J282" s="329"/>
      <c r="K282" s="329"/>
      <c r="L282" s="329"/>
      <c r="M282" s="329"/>
    </row>
    <row r="283" spans="2:13" s="326" customFormat="1">
      <c r="B283" s="328"/>
      <c r="C283" s="328"/>
      <c r="G283" s="329"/>
      <c r="H283" s="518"/>
      <c r="I283" s="515"/>
      <c r="J283" s="329"/>
      <c r="K283" s="329"/>
      <c r="L283" s="329"/>
      <c r="M283" s="329"/>
    </row>
    <row r="284" spans="2:13" s="326" customFormat="1">
      <c r="B284" s="328"/>
      <c r="C284" s="328"/>
      <c r="G284" s="329"/>
      <c r="H284" s="518"/>
      <c r="I284" s="515"/>
      <c r="J284" s="329"/>
      <c r="K284" s="329"/>
      <c r="L284" s="329"/>
      <c r="M284" s="329"/>
    </row>
    <row r="285" spans="2:13" s="326" customFormat="1">
      <c r="B285" s="328"/>
      <c r="C285" s="328"/>
      <c r="G285" s="329"/>
      <c r="H285" s="518"/>
      <c r="I285" s="515"/>
      <c r="J285" s="329"/>
      <c r="K285" s="329"/>
      <c r="L285" s="329"/>
      <c r="M285" s="329"/>
    </row>
    <row r="286" spans="2:13" s="326" customFormat="1">
      <c r="B286" s="328"/>
      <c r="C286" s="328"/>
      <c r="G286" s="329"/>
      <c r="H286" s="518"/>
      <c r="I286" s="515"/>
      <c r="J286" s="329"/>
      <c r="K286" s="329"/>
      <c r="L286" s="329"/>
      <c r="M286" s="329"/>
    </row>
    <row r="287" spans="2:13" s="326" customFormat="1">
      <c r="B287" s="328"/>
      <c r="C287" s="328"/>
      <c r="G287" s="329"/>
      <c r="H287" s="518"/>
      <c r="I287" s="515"/>
      <c r="J287" s="329"/>
      <c r="K287" s="329"/>
      <c r="L287" s="329"/>
      <c r="M287" s="329"/>
    </row>
    <row r="288" spans="2:13" s="326" customFormat="1">
      <c r="B288" s="328"/>
      <c r="C288" s="328"/>
      <c r="G288" s="329"/>
      <c r="H288" s="518"/>
      <c r="I288" s="515"/>
      <c r="J288" s="329"/>
      <c r="K288" s="329"/>
      <c r="L288" s="329"/>
      <c r="M288" s="329"/>
    </row>
    <row r="289" spans="2:13" s="326" customFormat="1">
      <c r="B289" s="328"/>
      <c r="C289" s="328"/>
      <c r="G289" s="329"/>
      <c r="H289" s="518"/>
      <c r="I289" s="515"/>
      <c r="J289" s="329"/>
      <c r="K289" s="329"/>
      <c r="L289" s="329"/>
      <c r="M289" s="329"/>
    </row>
    <row r="290" spans="2:13" s="326" customFormat="1">
      <c r="B290" s="328"/>
      <c r="C290" s="328"/>
      <c r="G290" s="329"/>
      <c r="H290" s="518"/>
      <c r="I290" s="515"/>
      <c r="J290" s="329"/>
      <c r="K290" s="329"/>
      <c r="L290" s="329"/>
      <c r="M290" s="329"/>
    </row>
    <row r="291" spans="2:13" s="326" customFormat="1">
      <c r="B291" s="328"/>
      <c r="C291" s="328"/>
      <c r="G291" s="329"/>
      <c r="H291" s="518"/>
      <c r="I291" s="515"/>
      <c r="J291" s="329"/>
      <c r="K291" s="329"/>
      <c r="L291" s="329"/>
      <c r="M291" s="329"/>
    </row>
    <row r="292" spans="2:13" s="326" customFormat="1">
      <c r="B292" s="328"/>
      <c r="C292" s="328"/>
      <c r="G292" s="329"/>
      <c r="H292" s="518"/>
      <c r="I292" s="515"/>
      <c r="J292" s="329"/>
      <c r="K292" s="329"/>
      <c r="L292" s="329"/>
      <c r="M292" s="329"/>
    </row>
    <row r="293" spans="2:13" s="326" customFormat="1">
      <c r="B293" s="328"/>
      <c r="C293" s="328"/>
      <c r="G293" s="329"/>
      <c r="H293" s="518"/>
      <c r="I293" s="515"/>
      <c r="J293" s="329"/>
      <c r="K293" s="329"/>
      <c r="L293" s="329"/>
      <c r="M293" s="329"/>
    </row>
    <row r="294" spans="2:13" s="326" customFormat="1">
      <c r="B294" s="328"/>
      <c r="C294" s="328"/>
      <c r="G294" s="329"/>
      <c r="H294" s="518"/>
      <c r="I294" s="515"/>
      <c r="J294" s="329"/>
      <c r="K294" s="329"/>
      <c r="L294" s="329"/>
      <c r="M294" s="329"/>
    </row>
    <row r="295" spans="2:13" s="326" customFormat="1">
      <c r="B295" s="328"/>
      <c r="C295" s="328"/>
      <c r="G295" s="329"/>
      <c r="H295" s="518"/>
      <c r="I295" s="515"/>
      <c r="J295" s="329"/>
      <c r="K295" s="329"/>
      <c r="L295" s="329"/>
      <c r="M295" s="329"/>
    </row>
    <row r="296" spans="2:13" s="326" customFormat="1">
      <c r="B296" s="328"/>
      <c r="C296" s="328"/>
      <c r="G296" s="329"/>
      <c r="H296" s="518"/>
      <c r="I296" s="515"/>
      <c r="J296" s="329"/>
      <c r="K296" s="329"/>
      <c r="L296" s="329"/>
      <c r="M296" s="329"/>
    </row>
    <row r="297" spans="2:13" s="326" customFormat="1">
      <c r="B297" s="328"/>
      <c r="C297" s="328"/>
      <c r="G297" s="329"/>
      <c r="H297" s="518"/>
      <c r="I297" s="515"/>
      <c r="J297" s="329"/>
      <c r="K297" s="329"/>
      <c r="L297" s="329"/>
      <c r="M297" s="329"/>
    </row>
    <row r="298" spans="2:13" s="326" customFormat="1">
      <c r="B298" s="328"/>
      <c r="C298" s="328"/>
      <c r="G298" s="329"/>
      <c r="H298" s="518"/>
      <c r="I298" s="515"/>
      <c r="J298" s="329"/>
      <c r="K298" s="329"/>
      <c r="L298" s="329"/>
      <c r="M298" s="329"/>
    </row>
    <row r="299" spans="2:13" s="326" customFormat="1">
      <c r="B299" s="328"/>
      <c r="C299" s="328"/>
      <c r="G299" s="329"/>
      <c r="H299" s="518"/>
      <c r="I299" s="515"/>
      <c r="J299" s="329"/>
      <c r="K299" s="329"/>
      <c r="L299" s="329"/>
      <c r="M299" s="329"/>
    </row>
    <row r="300" spans="2:13" s="326" customFormat="1">
      <c r="B300" s="328"/>
      <c r="C300" s="328"/>
      <c r="G300" s="329"/>
      <c r="H300" s="518"/>
      <c r="I300" s="515"/>
      <c r="J300" s="329"/>
      <c r="K300" s="329"/>
      <c r="L300" s="329"/>
      <c r="M300" s="329"/>
    </row>
    <row r="301" spans="2:13" s="326" customFormat="1">
      <c r="B301" s="328"/>
      <c r="C301" s="328"/>
      <c r="G301" s="329"/>
      <c r="H301" s="518"/>
      <c r="I301" s="515"/>
      <c r="J301" s="329"/>
      <c r="K301" s="329"/>
      <c r="L301" s="329"/>
      <c r="M301" s="329"/>
    </row>
    <row r="302" spans="2:13" s="326" customFormat="1">
      <c r="B302" s="328"/>
      <c r="C302" s="328"/>
      <c r="G302" s="329"/>
      <c r="H302" s="518"/>
      <c r="I302" s="515"/>
      <c r="J302" s="329"/>
      <c r="K302" s="329"/>
      <c r="L302" s="329"/>
      <c r="M302" s="329"/>
    </row>
    <row r="303" spans="2:13" s="326" customFormat="1">
      <c r="B303" s="328"/>
      <c r="C303" s="328"/>
      <c r="G303" s="329"/>
      <c r="H303" s="518"/>
      <c r="I303" s="515"/>
      <c r="J303" s="329"/>
      <c r="K303" s="329"/>
      <c r="L303" s="329"/>
      <c r="M303" s="329"/>
    </row>
    <row r="304" spans="2:13" s="326" customFormat="1">
      <c r="B304" s="328"/>
      <c r="C304" s="328"/>
      <c r="G304" s="329"/>
      <c r="H304" s="518"/>
      <c r="I304" s="515"/>
      <c r="J304" s="329"/>
      <c r="K304" s="329"/>
      <c r="L304" s="329"/>
      <c r="M304" s="329"/>
    </row>
    <row r="305" spans="2:13" s="326" customFormat="1">
      <c r="B305" s="328"/>
      <c r="C305" s="328"/>
      <c r="G305" s="329"/>
      <c r="H305" s="518"/>
      <c r="I305" s="515"/>
      <c r="J305" s="329"/>
      <c r="K305" s="329"/>
      <c r="L305" s="329"/>
      <c r="M305" s="329"/>
    </row>
    <row r="306" spans="2:13" s="326" customFormat="1">
      <c r="B306" s="328"/>
      <c r="C306" s="328"/>
      <c r="G306" s="329"/>
      <c r="H306" s="518"/>
      <c r="I306" s="515"/>
      <c r="J306" s="329"/>
      <c r="K306" s="329"/>
      <c r="L306" s="329"/>
      <c r="M306" s="329"/>
    </row>
    <row r="307" spans="2:13" s="326" customFormat="1">
      <c r="B307" s="328"/>
      <c r="C307" s="328"/>
      <c r="G307" s="329"/>
      <c r="H307" s="518"/>
      <c r="I307" s="515"/>
      <c r="J307" s="329"/>
      <c r="K307" s="329"/>
      <c r="L307" s="329"/>
      <c r="M307" s="329"/>
    </row>
    <row r="308" spans="2:13" s="326" customFormat="1">
      <c r="B308" s="328"/>
      <c r="C308" s="328"/>
      <c r="G308" s="329"/>
      <c r="H308" s="518"/>
      <c r="I308" s="515"/>
      <c r="J308" s="329"/>
      <c r="K308" s="329"/>
      <c r="L308" s="329"/>
      <c r="M308" s="329"/>
    </row>
    <row r="309" spans="2:13" s="326" customFormat="1">
      <c r="B309" s="328"/>
      <c r="C309" s="328"/>
      <c r="G309" s="329"/>
      <c r="H309" s="518"/>
      <c r="I309" s="515"/>
      <c r="J309" s="329"/>
      <c r="K309" s="329"/>
      <c r="L309" s="329"/>
      <c r="M309" s="329"/>
    </row>
    <row r="310" spans="2:13" s="326" customFormat="1">
      <c r="B310" s="328"/>
      <c r="C310" s="328"/>
      <c r="G310" s="329"/>
      <c r="H310" s="518"/>
      <c r="I310" s="515"/>
      <c r="J310" s="329"/>
      <c r="K310" s="329"/>
      <c r="L310" s="329"/>
      <c r="M310" s="329"/>
    </row>
    <row r="311" spans="2:13" s="326" customFormat="1">
      <c r="B311" s="328"/>
      <c r="C311" s="328"/>
      <c r="G311" s="329"/>
      <c r="H311" s="518"/>
      <c r="I311" s="515"/>
      <c r="J311" s="329"/>
      <c r="K311" s="329"/>
      <c r="L311" s="329"/>
      <c r="M311" s="329"/>
    </row>
    <row r="312" spans="2:13" s="326" customFormat="1">
      <c r="B312" s="328"/>
      <c r="C312" s="328"/>
      <c r="G312" s="329"/>
      <c r="H312" s="518"/>
      <c r="I312" s="515"/>
      <c r="J312" s="329"/>
      <c r="K312" s="329"/>
      <c r="L312" s="329"/>
      <c r="M312" s="329"/>
    </row>
    <row r="313" spans="2:13" s="326" customFormat="1">
      <c r="B313" s="328"/>
      <c r="C313" s="328"/>
      <c r="G313" s="329"/>
      <c r="H313" s="518"/>
      <c r="I313" s="515"/>
      <c r="J313" s="329"/>
      <c r="K313" s="329"/>
      <c r="L313" s="329"/>
      <c r="M313" s="329"/>
    </row>
    <row r="314" spans="2:13" s="326" customFormat="1">
      <c r="B314" s="328"/>
      <c r="C314" s="328"/>
      <c r="G314" s="329"/>
      <c r="H314" s="518"/>
      <c r="I314" s="515"/>
      <c r="J314" s="329"/>
      <c r="K314" s="329"/>
      <c r="L314" s="329"/>
      <c r="M314" s="329"/>
    </row>
    <row r="315" spans="2:13" s="326" customFormat="1">
      <c r="B315" s="328"/>
      <c r="C315" s="328"/>
      <c r="G315" s="329"/>
      <c r="H315" s="518"/>
      <c r="I315" s="515"/>
      <c r="J315" s="329"/>
      <c r="K315" s="329"/>
      <c r="L315" s="329"/>
      <c r="M315" s="329"/>
    </row>
    <row r="316" spans="2:13" s="326" customFormat="1">
      <c r="B316" s="328"/>
      <c r="C316" s="328"/>
      <c r="G316" s="329"/>
      <c r="H316" s="518"/>
      <c r="I316" s="515"/>
      <c r="J316" s="329"/>
      <c r="K316" s="329"/>
      <c r="L316" s="329"/>
      <c r="M316" s="329"/>
    </row>
    <row r="317" spans="2:13" s="326" customFormat="1">
      <c r="B317" s="328"/>
      <c r="C317" s="328"/>
      <c r="G317" s="329"/>
      <c r="H317" s="518"/>
      <c r="I317" s="515"/>
      <c r="J317" s="329"/>
      <c r="K317" s="329"/>
      <c r="L317" s="329"/>
      <c r="M317" s="329"/>
    </row>
    <row r="318" spans="2:13" s="326" customFormat="1">
      <c r="B318" s="328"/>
      <c r="C318" s="328"/>
      <c r="G318" s="329"/>
      <c r="H318" s="518"/>
      <c r="I318" s="515"/>
      <c r="J318" s="329"/>
      <c r="K318" s="329"/>
      <c r="L318" s="329"/>
      <c r="M318" s="329"/>
    </row>
    <row r="319" spans="2:13" s="326" customFormat="1">
      <c r="B319" s="328"/>
      <c r="C319" s="328"/>
      <c r="G319" s="329"/>
      <c r="H319" s="518"/>
      <c r="I319" s="515"/>
      <c r="J319" s="329"/>
      <c r="K319" s="329"/>
      <c r="L319" s="329"/>
      <c r="M319" s="329"/>
    </row>
    <row r="320" spans="2:13" s="326" customFormat="1">
      <c r="B320" s="328"/>
      <c r="C320" s="328"/>
      <c r="G320" s="329"/>
      <c r="H320" s="518"/>
      <c r="I320" s="515"/>
      <c r="J320" s="329"/>
      <c r="K320" s="329"/>
      <c r="L320" s="329"/>
      <c r="M320" s="329"/>
    </row>
    <row r="321" spans="2:13" s="326" customFormat="1">
      <c r="B321" s="328"/>
      <c r="C321" s="328"/>
      <c r="G321" s="329"/>
      <c r="H321" s="518"/>
      <c r="I321" s="515"/>
      <c r="J321" s="329"/>
      <c r="K321" s="329"/>
      <c r="L321" s="329"/>
      <c r="M321" s="329"/>
    </row>
    <row r="322" spans="2:13" s="326" customFormat="1">
      <c r="B322" s="328"/>
      <c r="C322" s="328"/>
      <c r="G322" s="329"/>
      <c r="H322" s="518"/>
      <c r="I322" s="515"/>
      <c r="J322" s="329"/>
      <c r="K322" s="329"/>
      <c r="L322" s="329"/>
      <c r="M322" s="329"/>
    </row>
    <row r="323" spans="2:13" s="326" customFormat="1">
      <c r="B323" s="328"/>
      <c r="C323" s="328"/>
      <c r="G323" s="329"/>
      <c r="H323" s="518"/>
      <c r="I323" s="515"/>
      <c r="J323" s="329"/>
      <c r="K323" s="329"/>
      <c r="L323" s="329"/>
      <c r="M323" s="329"/>
    </row>
    <row r="324" spans="2:13" s="326" customFormat="1">
      <c r="B324" s="328"/>
      <c r="C324" s="328"/>
      <c r="G324" s="329"/>
      <c r="H324" s="518"/>
      <c r="I324" s="515"/>
      <c r="J324" s="329"/>
      <c r="K324" s="329"/>
      <c r="L324" s="329"/>
      <c r="M324" s="329"/>
    </row>
    <row r="325" spans="2:13" s="326" customFormat="1">
      <c r="B325" s="328"/>
      <c r="C325" s="328"/>
      <c r="G325" s="329"/>
      <c r="H325" s="518"/>
      <c r="I325" s="515"/>
      <c r="J325" s="329"/>
      <c r="K325" s="329"/>
      <c r="L325" s="329"/>
      <c r="M325" s="329"/>
    </row>
    <row r="326" spans="2:13" s="326" customFormat="1">
      <c r="B326" s="328"/>
      <c r="C326" s="328"/>
      <c r="G326" s="329"/>
      <c r="H326" s="518"/>
      <c r="I326" s="515"/>
      <c r="J326" s="329"/>
      <c r="K326" s="329"/>
      <c r="L326" s="329"/>
      <c r="M326" s="329"/>
    </row>
    <row r="327" spans="2:13" s="326" customFormat="1">
      <c r="B327" s="328"/>
      <c r="C327" s="328"/>
      <c r="G327" s="329"/>
      <c r="H327" s="518"/>
      <c r="I327" s="515"/>
      <c r="J327" s="329"/>
      <c r="K327" s="329"/>
      <c r="L327" s="329"/>
      <c r="M327" s="329"/>
    </row>
    <row r="328" spans="2:13" s="326" customFormat="1">
      <c r="B328" s="328"/>
      <c r="C328" s="328"/>
      <c r="G328" s="329"/>
      <c r="H328" s="518"/>
      <c r="I328" s="515"/>
      <c r="J328" s="329"/>
      <c r="K328" s="329"/>
      <c r="L328" s="329"/>
      <c r="M328" s="329"/>
    </row>
    <row r="329" spans="2:13" s="326" customFormat="1">
      <c r="B329" s="328"/>
      <c r="C329" s="328"/>
      <c r="G329" s="329"/>
      <c r="H329" s="518"/>
      <c r="I329" s="515"/>
      <c r="J329" s="329"/>
      <c r="K329" s="329"/>
      <c r="L329" s="329"/>
      <c r="M329" s="329"/>
    </row>
    <row r="330" spans="2:13" s="326" customFormat="1">
      <c r="B330" s="328"/>
      <c r="C330" s="328"/>
      <c r="G330" s="329"/>
      <c r="H330" s="518"/>
      <c r="I330" s="515"/>
      <c r="J330" s="329"/>
      <c r="K330" s="329"/>
      <c r="L330" s="329"/>
      <c r="M330" s="329"/>
    </row>
    <row r="331" spans="2:13" s="326" customFormat="1">
      <c r="B331" s="328"/>
      <c r="C331" s="328"/>
      <c r="G331" s="329"/>
      <c r="H331" s="518"/>
      <c r="I331" s="515"/>
      <c r="J331" s="329"/>
      <c r="K331" s="329"/>
      <c r="L331" s="329"/>
      <c r="M331" s="329"/>
    </row>
    <row r="332" spans="2:13" s="326" customFormat="1">
      <c r="B332" s="328"/>
      <c r="C332" s="328"/>
      <c r="G332" s="329"/>
      <c r="H332" s="518"/>
      <c r="I332" s="515"/>
      <c r="J332" s="329"/>
      <c r="K332" s="329"/>
      <c r="L332" s="329"/>
      <c r="M332" s="329"/>
    </row>
    <row r="333" spans="2:13" s="326" customFormat="1">
      <c r="B333" s="328"/>
      <c r="C333" s="328"/>
      <c r="G333" s="329"/>
      <c r="H333" s="518"/>
      <c r="I333" s="515"/>
      <c r="J333" s="329"/>
      <c r="K333" s="329"/>
      <c r="L333" s="329"/>
      <c r="M333" s="329"/>
    </row>
    <row r="334" spans="2:13" s="326" customFormat="1">
      <c r="B334" s="328"/>
      <c r="C334" s="328"/>
      <c r="G334" s="329"/>
      <c r="H334" s="518"/>
      <c r="I334" s="515"/>
      <c r="J334" s="329"/>
      <c r="K334" s="329"/>
      <c r="L334" s="329"/>
      <c r="M334" s="329"/>
    </row>
    <row r="335" spans="2:13" s="326" customFormat="1">
      <c r="B335" s="328"/>
      <c r="C335" s="328"/>
      <c r="G335" s="329"/>
      <c r="H335" s="518"/>
      <c r="I335" s="515"/>
      <c r="J335" s="329"/>
      <c r="K335" s="329"/>
      <c r="L335" s="329"/>
      <c r="M335" s="329"/>
    </row>
    <row r="336" spans="2:13" s="326" customFormat="1">
      <c r="B336" s="328"/>
      <c r="C336" s="328"/>
      <c r="G336" s="329"/>
      <c r="H336" s="518"/>
      <c r="I336" s="515"/>
      <c r="J336" s="329"/>
      <c r="K336" s="329"/>
      <c r="L336" s="329"/>
      <c r="M336" s="329"/>
    </row>
    <row r="337" spans="2:13" s="326" customFormat="1">
      <c r="B337" s="328"/>
      <c r="C337" s="328"/>
      <c r="G337" s="329"/>
      <c r="H337" s="518"/>
      <c r="I337" s="515"/>
      <c r="J337" s="329"/>
      <c r="K337" s="329"/>
      <c r="L337" s="329"/>
      <c r="M337" s="329"/>
    </row>
    <row r="338" spans="2:13" s="326" customFormat="1">
      <c r="B338" s="328"/>
      <c r="C338" s="328"/>
      <c r="G338" s="329"/>
      <c r="H338" s="518"/>
      <c r="I338" s="515"/>
      <c r="J338" s="329"/>
      <c r="K338" s="329"/>
      <c r="L338" s="329"/>
      <c r="M338" s="329"/>
    </row>
    <row r="339" spans="2:13" s="326" customFormat="1">
      <c r="B339" s="328"/>
      <c r="C339" s="328"/>
      <c r="G339" s="329"/>
      <c r="H339" s="518"/>
      <c r="I339" s="515"/>
      <c r="J339" s="329"/>
      <c r="K339" s="329"/>
      <c r="L339" s="329"/>
      <c r="M339" s="329"/>
    </row>
    <row r="340" spans="2:13" s="326" customFormat="1">
      <c r="B340" s="328"/>
      <c r="C340" s="328"/>
      <c r="G340" s="329"/>
      <c r="H340" s="518"/>
      <c r="I340" s="515"/>
      <c r="J340" s="329"/>
      <c r="K340" s="329"/>
      <c r="L340" s="329"/>
      <c r="M340" s="329"/>
    </row>
    <row r="341" spans="2:13" s="326" customFormat="1">
      <c r="B341" s="328"/>
      <c r="C341" s="328"/>
      <c r="G341" s="329"/>
      <c r="H341" s="518"/>
      <c r="I341" s="515"/>
      <c r="J341" s="329"/>
      <c r="K341" s="329"/>
      <c r="L341" s="329"/>
      <c r="M341" s="329"/>
    </row>
    <row r="342" spans="2:13" s="326" customFormat="1">
      <c r="B342" s="328"/>
      <c r="C342" s="328"/>
      <c r="G342" s="329"/>
      <c r="H342" s="518"/>
      <c r="I342" s="515"/>
      <c r="J342" s="329"/>
      <c r="K342" s="329"/>
      <c r="L342" s="329"/>
      <c r="M342" s="329"/>
    </row>
    <row r="343" spans="2:13" s="326" customFormat="1">
      <c r="B343" s="328"/>
      <c r="C343" s="328"/>
      <c r="G343" s="329"/>
      <c r="H343" s="518"/>
      <c r="I343" s="515"/>
      <c r="J343" s="329"/>
      <c r="K343" s="329"/>
      <c r="L343" s="329"/>
      <c r="M343" s="329"/>
    </row>
    <row r="344" spans="2:13" s="326" customFormat="1">
      <c r="B344" s="328"/>
      <c r="C344" s="328"/>
      <c r="G344" s="329"/>
      <c r="H344" s="518"/>
      <c r="I344" s="515"/>
      <c r="J344" s="329"/>
      <c r="K344" s="329"/>
      <c r="L344" s="329"/>
      <c r="M344" s="329"/>
    </row>
    <row r="345" spans="2:13" s="326" customFormat="1">
      <c r="B345" s="328"/>
      <c r="C345" s="328"/>
      <c r="G345" s="329"/>
      <c r="H345" s="518"/>
      <c r="I345" s="515"/>
      <c r="J345" s="329"/>
      <c r="K345" s="329"/>
      <c r="L345" s="329"/>
      <c r="M345" s="329"/>
    </row>
    <row r="346" spans="2:13" s="326" customFormat="1">
      <c r="B346" s="328"/>
      <c r="C346" s="328"/>
      <c r="G346" s="329"/>
      <c r="H346" s="518"/>
      <c r="I346" s="515"/>
      <c r="J346" s="329"/>
      <c r="K346" s="329"/>
      <c r="L346" s="329"/>
      <c r="M346" s="329"/>
    </row>
    <row r="347" spans="2:13" s="326" customFormat="1">
      <c r="B347" s="328"/>
      <c r="C347" s="328"/>
      <c r="G347" s="329"/>
      <c r="H347" s="518"/>
      <c r="I347" s="515"/>
      <c r="J347" s="329"/>
      <c r="K347" s="329"/>
      <c r="L347" s="329"/>
      <c r="M347" s="329"/>
    </row>
    <row r="348" spans="2:13" s="326" customFormat="1">
      <c r="B348" s="328"/>
      <c r="C348" s="328"/>
      <c r="G348" s="329"/>
      <c r="H348" s="518"/>
      <c r="I348" s="515"/>
      <c r="J348" s="329"/>
      <c r="K348" s="329"/>
      <c r="L348" s="329"/>
      <c r="M348" s="329"/>
    </row>
    <row r="349" spans="2:13" s="326" customFormat="1">
      <c r="B349" s="328"/>
      <c r="C349" s="328"/>
      <c r="G349" s="329"/>
      <c r="H349" s="518"/>
      <c r="I349" s="515"/>
      <c r="J349" s="329"/>
      <c r="K349" s="329"/>
      <c r="L349" s="329"/>
      <c r="M349" s="329"/>
    </row>
    <row r="350" spans="2:13" s="326" customFormat="1">
      <c r="B350" s="328"/>
      <c r="C350" s="328"/>
      <c r="G350" s="329"/>
      <c r="H350" s="518"/>
      <c r="I350" s="515"/>
      <c r="J350" s="329"/>
      <c r="K350" s="329"/>
      <c r="L350" s="329"/>
      <c r="M350" s="329"/>
    </row>
    <row r="351" spans="2:13" s="326" customFormat="1">
      <c r="B351" s="328"/>
      <c r="C351" s="328"/>
      <c r="G351" s="329"/>
      <c r="H351" s="518"/>
      <c r="I351" s="515"/>
      <c r="J351" s="329"/>
      <c r="K351" s="329"/>
      <c r="L351" s="329"/>
      <c r="M351" s="329"/>
    </row>
    <row r="352" spans="2:13" s="326" customFormat="1">
      <c r="B352" s="328"/>
      <c r="C352" s="328"/>
      <c r="G352" s="329"/>
      <c r="H352" s="518"/>
      <c r="I352" s="515"/>
      <c r="J352" s="329"/>
      <c r="K352" s="329"/>
      <c r="L352" s="329"/>
      <c r="M352" s="329"/>
    </row>
    <row r="353" spans="2:13" s="326" customFormat="1">
      <c r="B353" s="328"/>
      <c r="C353" s="328"/>
      <c r="G353" s="329"/>
      <c r="H353" s="518"/>
      <c r="I353" s="515"/>
      <c r="J353" s="329"/>
      <c r="K353" s="329"/>
      <c r="L353" s="329"/>
      <c r="M353" s="329"/>
    </row>
    <row r="354" spans="2:13" s="326" customFormat="1">
      <c r="B354" s="328"/>
      <c r="C354" s="328"/>
      <c r="G354" s="329"/>
      <c r="H354" s="518"/>
      <c r="I354" s="515"/>
      <c r="J354" s="329"/>
      <c r="K354" s="329"/>
      <c r="L354" s="329"/>
      <c r="M354" s="329"/>
    </row>
    <row r="355" spans="2:13" s="326" customFormat="1">
      <c r="B355" s="328"/>
      <c r="C355" s="328"/>
      <c r="G355" s="329"/>
      <c r="H355" s="518"/>
      <c r="I355" s="515"/>
      <c r="J355" s="329"/>
      <c r="K355" s="329"/>
      <c r="L355" s="329"/>
      <c r="M355" s="329"/>
    </row>
    <row r="356" spans="2:13" s="326" customFormat="1">
      <c r="B356" s="328"/>
      <c r="C356" s="328"/>
      <c r="G356" s="329"/>
      <c r="H356" s="518"/>
      <c r="I356" s="515"/>
      <c r="J356" s="329"/>
      <c r="K356" s="329"/>
      <c r="L356" s="329"/>
      <c r="M356" s="329"/>
    </row>
    <row r="357" spans="2:13" s="326" customFormat="1">
      <c r="B357" s="328"/>
      <c r="C357" s="328"/>
      <c r="G357" s="329"/>
      <c r="H357" s="518"/>
      <c r="I357" s="515"/>
      <c r="J357" s="329"/>
      <c r="K357" s="329"/>
      <c r="L357" s="329"/>
      <c r="M357" s="329"/>
    </row>
    <row r="358" spans="2:13" s="326" customFormat="1">
      <c r="B358" s="328"/>
      <c r="C358" s="328"/>
      <c r="G358" s="329"/>
      <c r="H358" s="518"/>
      <c r="I358" s="515"/>
      <c r="J358" s="329"/>
      <c r="K358" s="329"/>
      <c r="L358" s="329"/>
      <c r="M358" s="329"/>
    </row>
    <row r="359" spans="2:13" s="326" customFormat="1">
      <c r="B359" s="328"/>
      <c r="C359" s="328"/>
      <c r="G359" s="329"/>
      <c r="H359" s="518"/>
      <c r="I359" s="515"/>
      <c r="J359" s="329"/>
      <c r="K359" s="329"/>
      <c r="L359" s="329"/>
      <c r="M359" s="329"/>
    </row>
    <row r="360" spans="2:13" s="326" customFormat="1">
      <c r="B360" s="328"/>
      <c r="C360" s="328"/>
      <c r="G360" s="329"/>
      <c r="H360" s="518"/>
      <c r="I360" s="515"/>
      <c r="J360" s="329"/>
      <c r="K360" s="329"/>
      <c r="L360" s="329"/>
      <c r="M360" s="329"/>
    </row>
    <row r="361" spans="2:13" s="326" customFormat="1">
      <c r="B361" s="328"/>
      <c r="C361" s="328"/>
      <c r="G361" s="329"/>
      <c r="H361" s="518"/>
      <c r="I361" s="515"/>
      <c r="J361" s="329"/>
      <c r="K361" s="329"/>
      <c r="L361" s="329"/>
      <c r="M361" s="329"/>
    </row>
    <row r="362" spans="2:13" s="326" customFormat="1">
      <c r="B362" s="328"/>
      <c r="C362" s="328"/>
      <c r="G362" s="329"/>
      <c r="H362" s="518"/>
      <c r="I362" s="515"/>
      <c r="J362" s="329"/>
      <c r="K362" s="329"/>
      <c r="L362" s="329"/>
      <c r="M362" s="329"/>
    </row>
    <row r="363" spans="2:13" s="326" customFormat="1">
      <c r="B363" s="328"/>
      <c r="C363" s="328"/>
      <c r="G363" s="329"/>
      <c r="H363" s="518"/>
      <c r="I363" s="515"/>
      <c r="J363" s="329"/>
      <c r="K363" s="329"/>
      <c r="L363" s="329"/>
      <c r="M363" s="329"/>
    </row>
    <row r="364" spans="2:13" s="326" customFormat="1">
      <c r="B364" s="328"/>
      <c r="C364" s="328"/>
      <c r="G364" s="329"/>
      <c r="H364" s="518"/>
      <c r="I364" s="515"/>
      <c r="J364" s="329"/>
      <c r="K364" s="329"/>
      <c r="L364" s="329"/>
      <c r="M364" s="329"/>
    </row>
    <row r="365" spans="2:13" s="326" customFormat="1">
      <c r="B365" s="328"/>
      <c r="C365" s="328"/>
      <c r="G365" s="329"/>
      <c r="H365" s="518"/>
      <c r="I365" s="515"/>
      <c r="J365" s="329"/>
      <c r="K365" s="329"/>
      <c r="L365" s="329"/>
      <c r="M365" s="329"/>
    </row>
    <row r="366" spans="2:13" s="326" customFormat="1">
      <c r="B366" s="328"/>
      <c r="C366" s="328"/>
      <c r="G366" s="329"/>
      <c r="H366" s="518"/>
      <c r="I366" s="515"/>
      <c r="J366" s="329"/>
      <c r="K366" s="329"/>
      <c r="L366" s="329"/>
      <c r="M366" s="329"/>
    </row>
    <row r="367" spans="2:13" s="326" customFormat="1">
      <c r="B367" s="328"/>
      <c r="C367" s="328"/>
      <c r="G367" s="329"/>
      <c r="H367" s="518"/>
      <c r="I367" s="515"/>
      <c r="J367" s="329"/>
      <c r="K367" s="329"/>
      <c r="L367" s="329"/>
      <c r="M367" s="329"/>
    </row>
    <row r="368" spans="2:13" s="326" customFormat="1">
      <c r="B368" s="328"/>
      <c r="C368" s="328"/>
      <c r="G368" s="329"/>
      <c r="H368" s="518"/>
      <c r="I368" s="515"/>
      <c r="J368" s="329"/>
      <c r="K368" s="329"/>
      <c r="L368" s="329"/>
      <c r="M368" s="329"/>
    </row>
    <row r="369" spans="2:13" s="326" customFormat="1">
      <c r="B369" s="328"/>
      <c r="C369" s="328"/>
      <c r="G369" s="329"/>
      <c r="H369" s="518"/>
      <c r="I369" s="515"/>
      <c r="J369" s="329"/>
      <c r="K369" s="329"/>
      <c r="L369" s="329"/>
      <c r="M369" s="329"/>
    </row>
    <row r="370" spans="2:13" s="326" customFormat="1">
      <c r="B370" s="328"/>
      <c r="C370" s="328"/>
      <c r="G370" s="329"/>
      <c r="H370" s="518"/>
      <c r="I370" s="515"/>
      <c r="J370" s="329"/>
      <c r="K370" s="329"/>
      <c r="L370" s="329"/>
      <c r="M370" s="329"/>
    </row>
    <row r="371" spans="2:13" s="326" customFormat="1">
      <c r="B371" s="328"/>
      <c r="C371" s="328"/>
      <c r="G371" s="329"/>
      <c r="H371" s="518"/>
      <c r="I371" s="515"/>
      <c r="J371" s="329"/>
      <c r="K371" s="329"/>
      <c r="L371" s="329"/>
      <c r="M371" s="329"/>
    </row>
    <row r="372" spans="2:13" s="326" customFormat="1">
      <c r="B372" s="328"/>
      <c r="C372" s="328"/>
      <c r="G372" s="329"/>
      <c r="H372" s="518"/>
      <c r="I372" s="515"/>
      <c r="J372" s="329"/>
      <c r="K372" s="329"/>
      <c r="L372" s="329"/>
      <c r="M372" s="329"/>
    </row>
    <row r="373" spans="2:13" s="326" customFormat="1">
      <c r="B373" s="328"/>
      <c r="C373" s="328"/>
      <c r="G373" s="329"/>
      <c r="H373" s="518"/>
      <c r="I373" s="515"/>
      <c r="J373" s="329"/>
      <c r="K373" s="329"/>
      <c r="L373" s="329"/>
      <c r="M373" s="329"/>
    </row>
    <row r="374" spans="2:13" s="326" customFormat="1">
      <c r="B374" s="328"/>
      <c r="C374" s="328"/>
      <c r="G374" s="329"/>
      <c r="H374" s="518"/>
      <c r="I374" s="515"/>
      <c r="J374" s="329"/>
      <c r="K374" s="329"/>
      <c r="L374" s="329"/>
      <c r="M374" s="329"/>
    </row>
    <row r="375" spans="2:13" s="326" customFormat="1">
      <c r="B375" s="328"/>
      <c r="C375" s="328"/>
      <c r="G375" s="329"/>
      <c r="H375" s="518"/>
      <c r="I375" s="515"/>
      <c r="J375" s="329"/>
      <c r="K375" s="329"/>
      <c r="L375" s="329"/>
      <c r="M375" s="329"/>
    </row>
    <row r="376" spans="2:13" s="326" customFormat="1">
      <c r="B376" s="328"/>
      <c r="C376" s="328"/>
      <c r="G376" s="329"/>
      <c r="H376" s="518"/>
      <c r="I376" s="515"/>
      <c r="J376" s="329"/>
      <c r="K376" s="329"/>
      <c r="L376" s="329"/>
      <c r="M376" s="329"/>
    </row>
    <row r="377" spans="2:13" s="326" customFormat="1">
      <c r="B377" s="328"/>
      <c r="C377" s="328"/>
      <c r="G377" s="329"/>
      <c r="H377" s="518"/>
      <c r="I377" s="515"/>
      <c r="J377" s="329"/>
      <c r="K377" s="329"/>
      <c r="L377" s="329"/>
      <c r="M377" s="329"/>
    </row>
    <row r="378" spans="2:13" s="326" customFormat="1">
      <c r="B378" s="328"/>
      <c r="C378" s="328"/>
      <c r="G378" s="329"/>
      <c r="H378" s="518"/>
      <c r="I378" s="515"/>
      <c r="J378" s="329"/>
      <c r="K378" s="329"/>
      <c r="L378" s="329"/>
      <c r="M378" s="329"/>
    </row>
    <row r="379" spans="2:13" s="326" customFormat="1">
      <c r="B379" s="328"/>
      <c r="C379" s="328"/>
      <c r="G379" s="329"/>
      <c r="H379" s="518"/>
      <c r="I379" s="515"/>
      <c r="J379" s="329"/>
      <c r="K379" s="329"/>
      <c r="L379" s="329"/>
      <c r="M379" s="329"/>
    </row>
    <row r="380" spans="2:13" s="326" customFormat="1">
      <c r="B380" s="328"/>
      <c r="C380" s="328"/>
      <c r="G380" s="329"/>
      <c r="H380" s="518"/>
      <c r="I380" s="515"/>
      <c r="J380" s="329"/>
      <c r="K380" s="329"/>
      <c r="L380" s="329"/>
      <c r="M380" s="329"/>
    </row>
    <row r="381" spans="2:13" s="326" customFormat="1">
      <c r="B381" s="328"/>
      <c r="C381" s="328"/>
      <c r="G381" s="329"/>
      <c r="H381" s="518"/>
      <c r="I381" s="515"/>
      <c r="J381" s="329"/>
      <c r="K381" s="329"/>
      <c r="L381" s="329"/>
      <c r="M381" s="329"/>
    </row>
    <row r="382" spans="2:13" s="326" customFormat="1">
      <c r="B382" s="328"/>
      <c r="C382" s="328"/>
      <c r="G382" s="329"/>
      <c r="H382" s="518"/>
      <c r="I382" s="515"/>
      <c r="J382" s="329"/>
      <c r="K382" s="329"/>
      <c r="L382" s="329"/>
      <c r="M382" s="329"/>
    </row>
  </sheetData>
  <sheetProtection selectLockedCells="1"/>
  <mergeCells count="72">
    <mergeCell ref="D101:E101"/>
    <mergeCell ref="D102:E102"/>
    <mergeCell ref="D95:E95"/>
    <mergeCell ref="D96:E96"/>
    <mergeCell ref="D97:E97"/>
    <mergeCell ref="D99:E99"/>
    <mergeCell ref="D100:E100"/>
    <mergeCell ref="D4:E4"/>
    <mergeCell ref="D5:E5"/>
    <mergeCell ref="D7:E7"/>
    <mergeCell ref="D9:E9"/>
    <mergeCell ref="D8:E8"/>
    <mergeCell ref="D6:E6"/>
    <mergeCell ref="D10:E10"/>
    <mergeCell ref="D11:E11"/>
    <mergeCell ref="D18:E18"/>
    <mergeCell ref="D19:E19"/>
    <mergeCell ref="D20:E20"/>
    <mergeCell ref="D12:E12"/>
    <mergeCell ref="D13:E13"/>
    <mergeCell ref="D21:E21"/>
    <mergeCell ref="D28:E28"/>
    <mergeCell ref="D33:E33"/>
    <mergeCell ref="D34:E34"/>
    <mergeCell ref="D35:E35"/>
    <mergeCell ref="D22:E22"/>
    <mergeCell ref="D24:E24"/>
    <mergeCell ref="C23:E23"/>
    <mergeCell ref="C29:C30"/>
    <mergeCell ref="C31:C32"/>
    <mergeCell ref="D29:E29"/>
    <mergeCell ref="D30:E30"/>
    <mergeCell ref="D103:E103"/>
    <mergeCell ref="D77:E77"/>
    <mergeCell ref="D84:E84"/>
    <mergeCell ref="D85:E85"/>
    <mergeCell ref="D87:E87"/>
    <mergeCell ref="D88:E88"/>
    <mergeCell ref="D78:E78"/>
    <mergeCell ref="D79:E79"/>
    <mergeCell ref="D81:E81"/>
    <mergeCell ref="D82:E82"/>
    <mergeCell ref="D83:E83"/>
    <mergeCell ref="D89:E89"/>
    <mergeCell ref="D90:E90"/>
    <mergeCell ref="D91:E91"/>
    <mergeCell ref="D93:E93"/>
    <mergeCell ref="D94:E94"/>
    <mergeCell ref="D58:E58"/>
    <mergeCell ref="D73:E73"/>
    <mergeCell ref="D74:E74"/>
    <mergeCell ref="D75:E75"/>
    <mergeCell ref="D76:E76"/>
    <mergeCell ref="D59:E59"/>
    <mergeCell ref="D64:E64"/>
    <mergeCell ref="D62:E62"/>
    <mergeCell ref="G1:H2"/>
    <mergeCell ref="B31:B32"/>
    <mergeCell ref="C37:C40"/>
    <mergeCell ref="C41:C45"/>
    <mergeCell ref="D71:E71"/>
    <mergeCell ref="D66:E66"/>
    <mergeCell ref="D67:E67"/>
    <mergeCell ref="D68:E68"/>
    <mergeCell ref="D69:E69"/>
    <mergeCell ref="D70:E70"/>
    <mergeCell ref="D31:E31"/>
    <mergeCell ref="D32:E32"/>
    <mergeCell ref="D63:E63"/>
    <mergeCell ref="D65:E65"/>
    <mergeCell ref="D60:E60"/>
    <mergeCell ref="D61:E61"/>
  </mergeCells>
  <conditionalFormatting sqref="C35:G35">
    <cfRule type="expression" dxfId="110" priority="178">
      <formula>$H$34=TRUE</formula>
    </cfRule>
  </conditionalFormatting>
  <conditionalFormatting sqref="C34:G34">
    <cfRule type="expression" dxfId="109" priority="177">
      <formula>$H$33=TRUE</formula>
    </cfRule>
  </conditionalFormatting>
  <conditionalFormatting sqref="C33:G33 G34">
    <cfRule type="expression" dxfId="108" priority="176">
      <formula>$H$32=TRUE</formula>
    </cfRule>
  </conditionalFormatting>
  <conditionalFormatting sqref="D32:G32">
    <cfRule type="expression" dxfId="107" priority="175">
      <formula>$H$31=TRUE</formula>
    </cfRule>
  </conditionalFormatting>
  <conditionalFormatting sqref="C31:G32">
    <cfRule type="expression" dxfId="106" priority="174">
      <formula>$H$30=TRUE</formula>
    </cfRule>
  </conditionalFormatting>
  <conditionalFormatting sqref="D30:G30">
    <cfRule type="expression" dxfId="105" priority="173">
      <formula>$H$29=TRUE</formula>
    </cfRule>
  </conditionalFormatting>
  <conditionalFormatting sqref="C29:G29">
    <cfRule type="expression" dxfId="104" priority="172">
      <formula>$H$28=TRUE</formula>
    </cfRule>
  </conditionalFormatting>
  <conditionalFormatting sqref="B10:G10">
    <cfRule type="expression" dxfId="103" priority="162">
      <formula>$H$9=TRUE</formula>
    </cfRule>
  </conditionalFormatting>
  <conditionalFormatting sqref="B9:G9">
    <cfRule type="expression" dxfId="102" priority="161">
      <formula>$H$8=TRUE</formula>
    </cfRule>
  </conditionalFormatting>
  <conditionalFormatting sqref="B8:G8">
    <cfRule type="expression" dxfId="101" priority="160">
      <formula>$H$7=TRUE</formula>
    </cfRule>
  </conditionalFormatting>
  <conditionalFormatting sqref="B7:G7">
    <cfRule type="expression" dxfId="100" priority="159">
      <formula>$H$6=TRUE</formula>
    </cfRule>
  </conditionalFormatting>
  <conditionalFormatting sqref="B6:G6">
    <cfRule type="expression" dxfId="99" priority="158">
      <formula>$H$5=TRUE</formula>
    </cfRule>
  </conditionalFormatting>
  <conditionalFormatting sqref="B5:G5">
    <cfRule type="expression" dxfId="98" priority="157">
      <formula>$H$4=TRUE</formula>
    </cfRule>
  </conditionalFormatting>
  <conditionalFormatting sqref="B14:G14 B13:D13 F13:G13">
    <cfRule type="expression" dxfId="97" priority="122">
      <formula>$H$12=TRUE</formula>
    </cfRule>
  </conditionalFormatting>
  <conditionalFormatting sqref="B14:G14">
    <cfRule type="expression" dxfId="96" priority="247">
      <formula>$H$13=TRUE</formula>
    </cfRule>
  </conditionalFormatting>
  <conditionalFormatting sqref="B11:G11">
    <cfRule type="expression" dxfId="95" priority="119">
      <formula>$H$10=TRUE</formula>
    </cfRule>
  </conditionalFormatting>
  <conditionalFormatting sqref="B12:D12 F12:G12">
    <cfRule type="expression" dxfId="94" priority="118">
      <formula>$H$11=TRUE</formula>
    </cfRule>
  </conditionalFormatting>
  <conditionalFormatting sqref="B17:G18">
    <cfRule type="expression" dxfId="93" priority="106">
      <formula>$H$17=TRUE</formula>
    </cfRule>
  </conditionalFormatting>
  <conditionalFormatting sqref="B35">
    <cfRule type="expression" dxfId="92" priority="105">
      <formula>$H$34=TRUE</formula>
    </cfRule>
  </conditionalFormatting>
  <conditionalFormatting sqref="B34">
    <cfRule type="expression" dxfId="91" priority="104">
      <formula>$H$33=TRUE</formula>
    </cfRule>
  </conditionalFormatting>
  <conditionalFormatting sqref="B33">
    <cfRule type="expression" dxfId="90" priority="103">
      <formula>$H$32=TRUE</formula>
    </cfRule>
  </conditionalFormatting>
  <conditionalFormatting sqref="B31:B32">
    <cfRule type="expression" dxfId="89" priority="102">
      <formula>$H$30=TRUE</formula>
    </cfRule>
  </conditionalFormatting>
  <conditionalFormatting sqref="B29:B30">
    <cfRule type="expression" dxfId="88" priority="101">
      <formula>$H$28=TRUE</formula>
    </cfRule>
  </conditionalFormatting>
  <conditionalFormatting sqref="B19:G19">
    <cfRule type="expression" dxfId="87" priority="100">
      <formula>$H$18=TRUE</formula>
    </cfRule>
  </conditionalFormatting>
  <conditionalFormatting sqref="B20:G20">
    <cfRule type="expression" dxfId="86" priority="99">
      <formula>$H$19=TRUE</formula>
    </cfRule>
  </conditionalFormatting>
  <conditionalFormatting sqref="B21:G21">
    <cfRule type="expression" dxfId="85" priority="98">
      <formula>$H$20=TRUE</formula>
    </cfRule>
  </conditionalFormatting>
  <conditionalFormatting sqref="B22:G22">
    <cfRule type="expression" dxfId="84" priority="97">
      <formula>$H$21=TRUE</formula>
    </cfRule>
  </conditionalFormatting>
  <conditionalFormatting sqref="B23:G23">
    <cfRule type="expression" dxfId="83" priority="96">
      <formula>$H$22=TRUE</formula>
    </cfRule>
  </conditionalFormatting>
  <conditionalFormatting sqref="B24:G24">
    <cfRule type="expression" dxfId="82" priority="95">
      <formula>$H$23=TRUE</formula>
    </cfRule>
  </conditionalFormatting>
  <conditionalFormatting sqref="F22">
    <cfRule type="expression" dxfId="81" priority="94">
      <formula>$H$20=TRUE</formula>
    </cfRule>
  </conditionalFormatting>
  <conditionalFormatting sqref="B26:G28">
    <cfRule type="expression" dxfId="80" priority="248">
      <formula>$H$26=TRUE</formula>
    </cfRule>
  </conditionalFormatting>
  <conditionalFormatting sqref="C107:C108">
    <cfRule type="expression" dxfId="79" priority="92">
      <formula>$C$107="Opatření nesplňují požadavky programu"</formula>
    </cfRule>
  </conditionalFormatting>
  <conditionalFormatting sqref="F81">
    <cfRule type="expression" dxfId="78" priority="89">
      <formula>$F$81="Konstrukce nesplňuje požadavky programu"</formula>
    </cfRule>
  </conditionalFormatting>
  <conditionalFormatting sqref="F87">
    <cfRule type="expression" dxfId="77" priority="88">
      <formula>$F$87="Konstrukce nesplňuje požadavky programu"</formula>
    </cfRule>
  </conditionalFormatting>
  <conditionalFormatting sqref="F93">
    <cfRule type="expression" dxfId="76" priority="87">
      <formula>$F$93="Konstrukce nesplňuje požadavky programu"</formula>
    </cfRule>
  </conditionalFormatting>
  <conditionalFormatting sqref="F99">
    <cfRule type="expression" dxfId="75" priority="317">
      <formula>$F$99="Konstrukce nesplňuje požadavky programu"</formula>
    </cfRule>
  </conditionalFormatting>
  <conditionalFormatting sqref="B59:G59">
    <cfRule type="expression" dxfId="74" priority="85">
      <formula>$H$58=TRUE</formula>
    </cfRule>
  </conditionalFormatting>
  <conditionalFormatting sqref="G103">
    <cfRule type="expression" dxfId="73" priority="313">
      <formula>$I$94=TRUE</formula>
    </cfRule>
    <cfRule type="expression" dxfId="72" priority="314">
      <formula>$H$94=TRUE</formula>
    </cfRule>
  </conditionalFormatting>
  <conditionalFormatting sqref="G103">
    <cfRule type="expression" dxfId="71" priority="315">
      <formula>$H$100=FALSE</formula>
    </cfRule>
  </conditionalFormatting>
  <conditionalFormatting sqref="B86:G88">
    <cfRule type="expression" dxfId="70" priority="17">
      <formula>$H$86=TRUE</formula>
    </cfRule>
  </conditionalFormatting>
  <conditionalFormatting sqref="D98:G99">
    <cfRule type="expression" dxfId="69" priority="15">
      <formula>$H$94=TRUE</formula>
    </cfRule>
  </conditionalFormatting>
  <conditionalFormatting sqref="B101:G101">
    <cfRule type="expression" dxfId="68" priority="72">
      <formula>$H$101=TRUE</formula>
    </cfRule>
  </conditionalFormatting>
  <conditionalFormatting sqref="B94:G94 B98:G99">
    <cfRule type="expression" dxfId="67" priority="66">
      <formula>$H$93=TRUE</formula>
    </cfRule>
  </conditionalFormatting>
  <conditionalFormatting sqref="B92:G93">
    <cfRule type="expression" dxfId="66" priority="16">
      <formula>$H$93=TRUE</formula>
    </cfRule>
  </conditionalFormatting>
  <conditionalFormatting sqref="D24:E24">
    <cfRule type="expression" dxfId="65" priority="60">
      <formula>$H$6=TRUE</formula>
    </cfRule>
  </conditionalFormatting>
  <conditionalFormatting sqref="B60:G60">
    <cfRule type="expression" dxfId="64" priority="58">
      <formula>$H$60=TRUE</formula>
    </cfRule>
  </conditionalFormatting>
  <conditionalFormatting sqref="B61:G61">
    <cfRule type="expression" dxfId="63" priority="57">
      <formula>$H61=TRUE</formula>
    </cfRule>
  </conditionalFormatting>
  <conditionalFormatting sqref="B62:G62">
    <cfRule type="expression" dxfId="62" priority="56">
      <formula>$H62=TRUE</formula>
    </cfRule>
  </conditionalFormatting>
  <conditionalFormatting sqref="B57:G58">
    <cfRule type="expression" dxfId="61" priority="53">
      <formula>$H$34=TRUE</formula>
    </cfRule>
  </conditionalFormatting>
  <conditionalFormatting sqref="B63:G63">
    <cfRule type="expression" dxfId="60" priority="52">
      <formula>$H$63=TRUE</formula>
    </cfRule>
  </conditionalFormatting>
  <conditionalFormatting sqref="B67:G67">
    <cfRule type="expression" dxfId="59" priority="51">
      <formula>$H67=TRUE</formula>
    </cfRule>
  </conditionalFormatting>
  <conditionalFormatting sqref="B68:G68">
    <cfRule type="expression" dxfId="58" priority="50">
      <formula>$H68=TRUE</formula>
    </cfRule>
  </conditionalFormatting>
  <conditionalFormatting sqref="B69:G69">
    <cfRule type="expression" dxfId="57" priority="49">
      <formula>$H69=TRUE</formula>
    </cfRule>
  </conditionalFormatting>
  <conditionalFormatting sqref="B70:G70">
    <cfRule type="expression" dxfId="56" priority="48">
      <formula>$H70=TRUE</formula>
    </cfRule>
  </conditionalFormatting>
  <conditionalFormatting sqref="B71:G71">
    <cfRule type="expression" dxfId="55" priority="47">
      <formula>$H$71=TRUE</formula>
    </cfRule>
  </conditionalFormatting>
  <conditionalFormatting sqref="B75:G75">
    <cfRule type="expression" dxfId="54" priority="42">
      <formula>$H75=TRUE</formula>
    </cfRule>
  </conditionalFormatting>
  <conditionalFormatting sqref="B76:G76">
    <cfRule type="expression" dxfId="53" priority="41">
      <formula>$H76=TRUE</formula>
    </cfRule>
  </conditionalFormatting>
  <conditionalFormatting sqref="B77:G77">
    <cfRule type="expression" dxfId="52" priority="40">
      <formula>$H77=TRUE</formula>
    </cfRule>
  </conditionalFormatting>
  <conditionalFormatting sqref="B83:G83">
    <cfRule type="expression" dxfId="51" priority="39">
      <formula>$H83=TRUE</formula>
    </cfRule>
  </conditionalFormatting>
  <conditionalFormatting sqref="B84:G84">
    <cfRule type="expression" dxfId="50" priority="38">
      <formula>$H84=TRUE</formula>
    </cfRule>
  </conditionalFormatting>
  <conditionalFormatting sqref="B85:G85">
    <cfRule type="expression" dxfId="49" priority="37">
      <formula>$H85=TRUE</formula>
    </cfRule>
  </conditionalFormatting>
  <conditionalFormatting sqref="B80:G81">
    <cfRule type="expression" dxfId="48" priority="18">
      <formula>$H$80=TRUE</formula>
    </cfRule>
  </conditionalFormatting>
  <conditionalFormatting sqref="B89:G89">
    <cfRule type="expression" dxfId="47" priority="35">
      <formula>$H89=TRUE</formula>
    </cfRule>
  </conditionalFormatting>
  <conditionalFormatting sqref="B90:G90">
    <cfRule type="expression" dxfId="46" priority="34">
      <formula>$H90=TRUE</formula>
    </cfRule>
  </conditionalFormatting>
  <conditionalFormatting sqref="B91:E91 G91">
    <cfRule type="expression" dxfId="45" priority="33">
      <formula>$H91=TRUE</formula>
    </cfRule>
  </conditionalFormatting>
  <conditionalFormatting sqref="B95:G95">
    <cfRule type="expression" dxfId="44" priority="32">
      <formula>$H95=TRUE</formula>
    </cfRule>
  </conditionalFormatting>
  <conditionalFormatting sqref="B96:G96">
    <cfRule type="expression" dxfId="43" priority="31">
      <formula>$H96=TRUE</formula>
    </cfRule>
  </conditionalFormatting>
  <conditionalFormatting sqref="B97:G97">
    <cfRule type="expression" dxfId="42" priority="30">
      <formula>$H97=TRUE</formula>
    </cfRule>
  </conditionalFormatting>
  <conditionalFormatting sqref="A98:G100">
    <cfRule type="expression" dxfId="41" priority="73">
      <formula>$H$98=TRUE</formula>
    </cfRule>
  </conditionalFormatting>
  <conditionalFormatting sqref="B78:G78">
    <cfRule type="expression" dxfId="40" priority="27">
      <formula>$H$78=TRUE</formula>
    </cfRule>
  </conditionalFormatting>
  <conditionalFormatting sqref="B102:G102">
    <cfRule type="expression" dxfId="39" priority="26">
      <formula>$H$102=TRUE</formula>
    </cfRule>
  </conditionalFormatting>
  <conditionalFormatting sqref="F23">
    <cfRule type="expression" dxfId="38" priority="25">
      <formula>$F$23="Projekt jako celek splňuje požadavky na energetickou náročnost"</formula>
    </cfRule>
  </conditionalFormatting>
  <conditionalFormatting sqref="F73">
    <cfRule type="expression" dxfId="37" priority="22">
      <formula>$F$73="Konstrukce nesplňuje požadavky programu"</formula>
    </cfRule>
  </conditionalFormatting>
  <conditionalFormatting sqref="F65">
    <cfRule type="expression" dxfId="36" priority="21">
      <formula>$F$65="Konstrukce nesplňuje požadavky programu"</formula>
    </cfRule>
  </conditionalFormatting>
  <conditionalFormatting sqref="F91">
    <cfRule type="expression" dxfId="35" priority="13">
      <formula>$H91=TRUE</formula>
    </cfRule>
  </conditionalFormatting>
  <conditionalFormatting sqref="B66:G66">
    <cfRule type="expression" dxfId="34" priority="12">
      <formula>$H$66=TRUE</formula>
    </cfRule>
  </conditionalFormatting>
  <conditionalFormatting sqref="B64:G65">
    <cfRule type="expression" dxfId="33" priority="11">
      <formula>$H$64=TRUE</formula>
    </cfRule>
  </conditionalFormatting>
  <conditionalFormatting sqref="B74:G74">
    <cfRule type="expression" dxfId="32" priority="10">
      <formula>$H$74=TRUE</formula>
    </cfRule>
  </conditionalFormatting>
  <conditionalFormatting sqref="B72:G73">
    <cfRule type="expression" dxfId="31" priority="9">
      <formula>$H$72=TRUE</formula>
    </cfRule>
  </conditionalFormatting>
  <conditionalFormatting sqref="B82:G82">
    <cfRule type="expression" dxfId="30" priority="8">
      <formula>$H$82=TRUE</formula>
    </cfRule>
  </conditionalFormatting>
  <conditionalFormatting sqref="B79:G79">
    <cfRule type="expression" dxfId="29" priority="7">
      <formula>$H$79=TRUE</formula>
    </cfRule>
  </conditionalFormatting>
  <conditionalFormatting sqref="G30">
    <cfRule type="expression" dxfId="28" priority="6">
      <formula>$H$26=TRUE</formula>
    </cfRule>
  </conditionalFormatting>
  <conditionalFormatting sqref="G31">
    <cfRule type="expression" dxfId="27" priority="5">
      <formula>$H$28=TRUE</formula>
    </cfRule>
  </conditionalFormatting>
  <conditionalFormatting sqref="G32">
    <cfRule type="expression" dxfId="26" priority="4">
      <formula>$H$26=TRUE</formula>
    </cfRule>
  </conditionalFormatting>
  <conditionalFormatting sqref="G59:G60">
    <cfRule type="expression" dxfId="25" priority="3">
      <formula>$H$32=TRUE</formula>
    </cfRule>
  </conditionalFormatting>
  <conditionalFormatting sqref="B103:G103">
    <cfRule type="expression" dxfId="24" priority="2">
      <formula>$H$102=TRUE</formula>
    </cfRule>
  </conditionalFormatting>
  <conditionalFormatting sqref="C103:F103">
    <cfRule type="expression" dxfId="23" priority="1">
      <formula>$H$102=TRUE</formula>
    </cfRule>
  </conditionalFormatting>
  <dataValidations xWindow="1023" yWindow="589" count="19">
    <dataValidation type="list" allowBlank="1" showInputMessage="1" showErrorMessage="1" sqref="F54 F49">
      <formula1>data_ploch_strecha_tl_iz</formula1>
    </dataValidation>
    <dataValidation type="list" allowBlank="1" showInputMessage="1" showErrorMessage="1" sqref="F44">
      <formula1>data_steny_tl_iz</formula1>
    </dataValidation>
    <dataValidation allowBlank="1" showErrorMessage="1" prompt="Hodnoty v rozmezí 0,5 až 2,0_x000a_" sqref="G8:G9 K88:K92 K66:K86 G38:G40 G95:G98"/>
    <dataValidation type="list" allowBlank="1" showInputMessage="1" showErrorMessage="1" sqref="D109:E109 F37 F41 F51 F58 F66 F82 F94 D2:F2 F88 F100 F74 F46 D16:E16 D25:E25 F103 F12">
      <formula1>"ano,ne"</formula1>
    </dataValidation>
    <dataValidation type="list" allowBlank="1" showInputMessage="1" showErrorMessage="1" sqref="F6:F7 F24">
      <formula1>ano_ne</formula1>
    </dataValidation>
    <dataValidation type="list" allowBlank="1" showInputMessage="1" showErrorMessage="1" sqref="F10">
      <formula1>roky</formula1>
    </dataValidation>
    <dataValidation type="whole" allowBlank="1" showInputMessage="1" showErrorMessage="1" prompt="0-30°C" sqref="F11">
      <formula1>5</formula1>
      <formula2>30</formula2>
    </dataValidation>
    <dataValidation type="decimal" allowBlank="1" showInputMessage="1" showErrorMessage="1" sqref="F18:F19">
      <formula1>0</formula1>
      <formula2>5</formula2>
    </dataValidation>
    <dataValidation type="whole" allowBlank="1" showInputMessage="1" showErrorMessage="1" prompt="1950-2018" sqref="F42 F52 F38 F47">
      <formula1>1950</formula1>
      <formula2>2018</formula2>
    </dataValidation>
    <dataValidation type="list" allowBlank="1" showInputMessage="1" showErrorMessage="1" sqref="F29">
      <formula1>"plochá střecha,šikmá střecha,strop půdy"</formula1>
    </dataValidation>
    <dataValidation type="list" allowBlank="1" showInputMessage="1" showErrorMessage="1" sqref="F31">
      <formula1>"podlaha na zemině,nevytápěný suterén"</formula1>
    </dataValidation>
    <dataValidation type="whole" operator="greaterThan" allowBlank="1" showInputMessage="1" showErrorMessage="1" sqref="F55 F50 F45 F40 F61 F96 F69 F84 F90 F77">
      <formula1>0</formula1>
    </dataValidation>
    <dataValidation type="decimal" allowBlank="1" showInputMessage="1" showErrorMessage="1" prompt="0-100%" sqref="F101">
      <formula1>0</formula1>
      <formula2>1</formula2>
    </dataValidation>
    <dataValidation type="decimal" allowBlank="1" showErrorMessage="1" error="Hodnota do 7 W/m2K" sqref="F97 F85 F91">
      <formula1>0</formula1>
      <formula2>7</formula2>
    </dataValidation>
    <dataValidation type="decimal" allowBlank="1" showInputMessage="1" showErrorMessage="1" prompt="0-7 W/m2K" sqref="F78 F70 F62">
      <formula1>0</formula1>
      <formula2>7</formula2>
    </dataValidation>
    <dataValidation type="whole" allowBlank="1" showErrorMessage="1" error="Obvyklá hodnota do 500 mm" sqref="F76">
      <formula1>0</formula1>
      <formula2>500</formula2>
    </dataValidation>
    <dataValidation type="list" allowBlank="1" showErrorMessage="1" sqref="F13">
      <formula1>starý_kotel</formula1>
    </dataValidation>
    <dataValidation type="whole" allowBlank="1" showErrorMessage="1" error="Obvyklá hodnota do 500 mm" prompt="Obvyklá hodnota do 500 mm" sqref="F60 F68">
      <formula1>0</formula1>
      <formula2>500</formula2>
    </dataValidation>
    <dataValidation type="list" allowBlank="1" showErrorMessage="1" sqref="F14">
      <formula1>paliva</formula1>
    </dataValidation>
  </dataValidations>
  <pageMargins left="0.70866141732283472" right="0.70866141732283472" top="0.78740157480314965" bottom="0.78740157480314965" header="0.31496062992125984" footer="0.31496062992125984"/>
  <pageSetup paperSize="9" scale="41" fitToHeight="3" orientation="portrait" r:id="rId1"/>
  <ignoredErrors>
    <ignoredError sqref="B97:B99 B28:B29 B31 B33:B35 B101:B102" twoDigitTextYear="1"/>
    <ignoredError sqref="E9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91" r:id="rId4" name="Button 23">
              <controlPr defaultSize="0" print="0" autoFill="0" autoPict="0" macro="[0]!Button23_Click">
                <anchor moveWithCells="1" sizeWithCells="1">
                  <from>
                    <xdr:col>3</xdr:col>
                    <xdr:colOff>123825</xdr:colOff>
                    <xdr:row>0</xdr:row>
                    <xdr:rowOff>57150</xdr:rowOff>
                  </from>
                  <to>
                    <xdr:col>3</xdr:col>
                    <xdr:colOff>1371600</xdr:colOff>
                    <xdr:row>1</xdr:row>
                    <xdr:rowOff>47625</xdr:rowOff>
                  </to>
                </anchor>
              </controlPr>
            </control>
          </mc:Choice>
        </mc:AlternateContent>
        <mc:AlternateContent xmlns:mc="http://schemas.openxmlformats.org/markup-compatibility/2006">
          <mc:Choice Requires="x14">
            <control shapeId="7194" r:id="rId5" name="Button 26">
              <controlPr defaultSize="0" print="0" autoFill="0" autoPict="0" macro="[0]!List3.reset_zatepleni">
                <anchor moveWithCells="1" sizeWithCells="1">
                  <from>
                    <xdr:col>6</xdr:col>
                    <xdr:colOff>2095500</xdr:colOff>
                    <xdr:row>2</xdr:row>
                    <xdr:rowOff>104775</xdr:rowOff>
                  </from>
                  <to>
                    <xdr:col>6</xdr:col>
                    <xdr:colOff>3162300</xdr:colOff>
                    <xdr:row>3</xdr:row>
                    <xdr:rowOff>76200</xdr:rowOff>
                  </to>
                </anchor>
              </controlPr>
            </control>
          </mc:Choice>
        </mc:AlternateContent>
        <mc:AlternateContent xmlns:mc="http://schemas.openxmlformats.org/markup-compatibility/2006">
          <mc:Choice Requires="x14">
            <control shapeId="7198" r:id="rId6" name="Button 30">
              <controlPr defaultSize="0" print="0" autoFill="0" autoPict="0" macro="[0]!Button23_Click">
                <anchor moveWithCells="1" sizeWithCells="1">
                  <from>
                    <xdr:col>2</xdr:col>
                    <xdr:colOff>152400</xdr:colOff>
                    <xdr:row>119</xdr:row>
                    <xdr:rowOff>304800</xdr:rowOff>
                  </from>
                  <to>
                    <xdr:col>2</xdr:col>
                    <xdr:colOff>1400175</xdr:colOff>
                    <xdr:row>121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23" yWindow="589" count="14">
        <x14:dataValidation type="list" allowBlank="1" showInputMessage="1" showErrorMessage="1">
          <x14:formula1>
            <xm:f>budova_opatření!$B$49:$B$52</xm:f>
          </x14:formula1>
          <xm:sqref>F89</xm:sqref>
        </x14:dataValidation>
        <x14:dataValidation type="list" allowBlank="1" showInputMessage="1" showErrorMessage="1">
          <x14:formula1>
            <xm:f>IF($F$31="podlaha na zemině",INDIRECT(budova!$D$60),INDIRECT(budova!$D$32))</xm:f>
          </x14:formula1>
          <xm:sqref>F32</xm:sqref>
        </x14:dataValidation>
        <x14:dataValidation type="list" allowBlank="1" showInputMessage="1" showErrorMessage="1">
          <x14:formula1>
            <xm:f>INDIRECT(budova!$D$46)</xm:f>
          </x14:formula1>
          <xm:sqref>F34</xm:sqref>
        </x14:dataValidation>
        <x14:dataValidation type="list" allowBlank="1" showInputMessage="1" showErrorMessage="1">
          <x14:formula1>
            <xm:f>INDIRECT(budova!$D$53)</xm:f>
          </x14:formula1>
          <xm:sqref>F35</xm:sqref>
        </x14:dataValidation>
        <x14:dataValidation type="list" allowBlank="1" showInputMessage="1" showErrorMessage="1">
          <x14:formula1>
            <xm:f>parametry!$A$122:$A$130</xm:f>
          </x14:formula1>
          <xm:sqref>F5</xm:sqref>
        </x14:dataValidation>
        <x14:dataValidation type="list" allowBlank="1" showInputMessage="1" showErrorMessage="1">
          <x14:formula1>
            <xm:f>INDIRECT(budova!$D$4)</xm:f>
          </x14:formula1>
          <xm:sqref>F28</xm:sqref>
        </x14:dataValidation>
        <x14:dataValidation type="list" allowBlank="1" showInputMessage="1" showErrorMessage="1">
          <x14:formula1>
            <xm:f>IF($F$29="plochá střecha",INDIRECT(budova!$D$11),IF($F$29="šikmá střecha",INDIRECT(budova!$D$18),INDIRECT(budova!$D$25)))</xm:f>
          </x14:formula1>
          <xm:sqref>F30</xm:sqref>
        </x14:dataValidation>
        <x14:dataValidation type="list" allowBlank="1" showInputMessage="1" showErrorMessage="1">
          <x14:formula1>
            <xm:f>INDIRECT(budova!$D$39)</xm:f>
          </x14:formula1>
          <xm:sqref>F33</xm:sqref>
        </x14:dataValidation>
        <x14:dataValidation type="list" allowBlank="1" showInputMessage="1" showErrorMessage="1">
          <x14:formula1>
            <xm:f>budova_opatření!$B$39:$B$48</xm:f>
          </x14:formula1>
          <xm:sqref>F39 F83</xm:sqref>
        </x14:dataValidation>
        <x14:dataValidation type="list" allowBlank="1" showInputMessage="1" showErrorMessage="1">
          <x14:formula1>
            <xm:f>budova_opatření!$B$3:$B$13</xm:f>
          </x14:formula1>
          <xm:sqref>F43 F59</xm:sqref>
        </x14:dataValidation>
        <x14:dataValidation type="list" allowBlank="1" showInputMessage="1" showErrorMessage="1">
          <x14:formula1>
            <xm:f>IF($F$29="plochá střecha",budova_opatření!$B$14:$B$19,IF($F$29="šikmá střecha",budova_opatření!$B$20:$B$23,budova_opatření!$B$24:$B$27))</xm:f>
          </x14:formula1>
          <xm:sqref>F48 F67</xm:sqref>
        </x14:dataValidation>
        <x14:dataValidation type="list" allowBlank="1" showInputMessage="1" showErrorMessage="1">
          <x14:formula1>
            <xm:f>IF($F$31="nevytápěný suterén",budova_opatření!$B$28:$B$34,budova_opatření!$B$35:$B$38)</xm:f>
          </x14:formula1>
          <xm:sqref>F53 F75</xm:sqref>
        </x14:dataValidation>
        <x14:dataValidation type="list" allowBlank="1" showInputMessage="1" showErrorMessage="1">
          <x14:formula1>
            <xm:f>budova_opatření!$B$53:$B$59</xm:f>
          </x14:formula1>
          <xm:sqref>F95</xm:sqref>
        </x14:dataValidation>
        <x14:dataValidation type="list" allowBlank="1" showInputMessage="1" showErrorMessage="1">
          <x14:formula1>
            <xm:f>parametry!$A$119:$A$120</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W44"/>
  <sheetViews>
    <sheetView zoomScale="98" zoomScaleNormal="98" workbookViewId="0">
      <selection activeCell="D4" sqref="D4"/>
    </sheetView>
  </sheetViews>
  <sheetFormatPr defaultColWidth="9.140625" defaultRowHeight="15"/>
  <cols>
    <col min="1" max="1" width="1.140625" style="262" customWidth="1"/>
    <col min="2" max="2" width="9.140625" style="262"/>
    <col min="3" max="3" width="50.7109375" style="262" customWidth="1"/>
    <col min="4" max="4" width="20.7109375" style="262" customWidth="1"/>
    <col min="5" max="5" width="25" style="262" customWidth="1"/>
    <col min="6" max="6" width="30.28515625" style="261" customWidth="1"/>
    <col min="7" max="7" width="21.140625" style="262" customWidth="1"/>
    <col min="8" max="10" width="9.140625" style="263"/>
    <col min="11" max="11" width="11.5703125" style="319" customWidth="1"/>
    <col min="12" max="12" width="2.140625" style="319" customWidth="1"/>
    <col min="13" max="13" width="10.85546875" style="319" customWidth="1"/>
    <col min="14" max="16" width="10.85546875" style="262" customWidth="1"/>
    <col min="17" max="17" width="9.140625" style="262"/>
    <col min="18" max="18" width="10.85546875" style="262" bestFit="1" customWidth="1"/>
    <col min="19" max="19" width="9.140625" style="262"/>
    <col min="20" max="20" width="10.85546875" style="262" bestFit="1" customWidth="1"/>
    <col min="21" max="16384" width="9.140625" style="262"/>
  </cols>
  <sheetData>
    <row r="1" spans="1:18" ht="26.25">
      <c r="A1" s="258"/>
      <c r="B1" s="259" t="s">
        <v>699</v>
      </c>
      <c r="C1" s="258"/>
      <c r="D1" s="2"/>
      <c r="E1" s="260"/>
      <c r="G1" s="641" t="s">
        <v>917</v>
      </c>
      <c r="H1" s="642"/>
      <c r="K1" s="527"/>
      <c r="L1" s="6"/>
      <c r="M1" s="6"/>
      <c r="N1" s="6"/>
      <c r="R1" s="542"/>
    </row>
    <row r="2" spans="1:18" ht="15" customHeight="1">
      <c r="A2" s="258"/>
      <c r="B2" s="264"/>
      <c r="C2" s="265"/>
      <c r="D2" s="264"/>
      <c r="E2" s="266"/>
      <c r="G2" s="643"/>
      <c r="H2" s="644"/>
      <c r="K2" s="527"/>
      <c r="L2" s="6"/>
      <c r="M2" s="6"/>
      <c r="N2" s="6"/>
      <c r="R2" s="542"/>
    </row>
    <row r="3" spans="1:18" ht="15.75">
      <c r="A3" s="267"/>
      <c r="B3" s="268" t="s">
        <v>110</v>
      </c>
      <c r="C3" s="269" t="s">
        <v>700</v>
      </c>
      <c r="D3" s="270"/>
      <c r="E3" s="321"/>
      <c r="F3" s="271"/>
      <c r="G3" s="645"/>
      <c r="H3" s="646"/>
      <c r="K3" s="136"/>
      <c r="L3" s="521"/>
      <c r="M3" s="521" t="s">
        <v>188</v>
      </c>
      <c r="N3" s="6"/>
      <c r="R3" s="542"/>
    </row>
    <row r="4" spans="1:18" ht="35.450000000000003" customHeight="1">
      <c r="B4" s="272" t="s">
        <v>27</v>
      </c>
      <c r="C4" s="273" t="s">
        <v>701</v>
      </c>
      <c r="D4" s="274" t="s">
        <v>30</v>
      </c>
      <c r="E4" s="551"/>
      <c r="K4" s="136" t="b">
        <f>ISBLANK(E4)</f>
        <v>1</v>
      </c>
      <c r="L4" s="521"/>
      <c r="M4" s="521" t="b">
        <f>IF(OR(ISBLANK(E4),parametry!B110=TRUE),TRUE,FALSE)</f>
        <v>1</v>
      </c>
      <c r="N4" s="6"/>
      <c r="R4" s="542"/>
    </row>
    <row r="5" spans="1:18" ht="35.450000000000003" hidden="1" customHeight="1">
      <c r="B5" s="275" t="s">
        <v>106</v>
      </c>
      <c r="C5" s="276" t="s">
        <v>778</v>
      </c>
      <c r="D5" s="550" t="s">
        <v>30</v>
      </c>
      <c r="E5" s="11"/>
      <c r="K5" s="136" t="b">
        <f>IF(OR(ISBLANK(E5),AND(E4&lt;&gt;"kotel na tuhá paliva",E4&lt;&gt;"centrální zásobování teplem")),TRUE,FALSE)</f>
        <v>1</v>
      </c>
      <c r="L5" s="521"/>
      <c r="M5" s="528"/>
      <c r="N5" s="6"/>
    </row>
    <row r="6" spans="1:18" ht="35.450000000000003" hidden="1" customHeight="1" thickBot="1">
      <c r="B6" s="272" t="s">
        <v>29</v>
      </c>
      <c r="C6" s="277" t="s">
        <v>482</v>
      </c>
      <c r="D6" s="278" t="s">
        <v>30</v>
      </c>
      <c r="E6" s="10"/>
      <c r="F6" s="261" t="str">
        <f>IF(E4="centrální zásobování teplem","Zadejte palivo používané zdrojem CZT, pokud ho neznáte zvolte hnědé uhlí","")</f>
        <v/>
      </c>
      <c r="K6" s="136" t="b">
        <f>IF(OR(ISBLANK(E5),ISBLANK(E4),AND($E$4="kotel na tuhá paliva",ISBLANK(E6)),AND($E$4="centrální zásobování teplem",ISBLANK(E6))),TRUE,FALSE)</f>
        <v>1</v>
      </c>
      <c r="L6" s="521"/>
      <c r="M6" s="528"/>
      <c r="N6" s="6"/>
    </row>
    <row r="7" spans="1:18" ht="35.450000000000003" hidden="1" customHeight="1" thickBot="1">
      <c r="B7" s="275" t="s">
        <v>28</v>
      </c>
      <c r="C7" s="279" t="str">
        <f>IF(E4="centrální zásobování teplem","Jaká je spotřeba energie za jeden rok?","Jaká je spotřeba paliva za jeden rok?")</f>
        <v>Jaká je spotřeba paliva za jeden rok?</v>
      </c>
      <c r="D7" s="280" t="str">
        <f>IFERROR(IF(E4="centrální zásobování teplem","GJ",IF(E4="kotel na zemní plyn","m3",IF(E4="kotel na topný olej","l",IF(E4="elektrokotel","kWh",IF(E4="tepelné cerpadlo","kWh",VLOOKUP(E6,parametry!$A$52:$B$57,2,0)))))),"")</f>
        <v/>
      </c>
      <c r="E7" s="12"/>
      <c r="F7" s="261" t="str">
        <f>IF(E7=0,IF(parametry!B110=TRUE,"","Zadejte spotřebu paliva"),"")</f>
        <v>Zadejte spotřebu paliva</v>
      </c>
      <c r="K7" s="136" t="b">
        <f>IF(OR(ISBLANK(E5),ISBLANK(E7)),TRUE,IF(parametry!B110=TRUE,FALSE,IF(AND(parametry!B110=TRUE,ISBLANK(E7)),TRUE,FALSE)))</f>
        <v>1</v>
      </c>
      <c r="L7" s="521"/>
      <c r="M7" s="528"/>
      <c r="N7" s="6"/>
    </row>
    <row r="8" spans="1:18" ht="35.450000000000003" hidden="1" customHeight="1" thickBot="1">
      <c r="B8" s="275" t="s">
        <v>108</v>
      </c>
      <c r="C8" s="279" t="s">
        <v>912</v>
      </c>
      <c r="D8" s="280" t="s">
        <v>445</v>
      </c>
      <c r="E8" s="13"/>
      <c r="K8" s="136" t="b">
        <f>IF(E8="ne",TRUE,ISBLANK(E8))</f>
        <v>1</v>
      </c>
      <c r="L8" s="521"/>
      <c r="M8" s="528"/>
      <c r="N8" s="6"/>
    </row>
    <row r="9" spans="1:18" ht="35.450000000000003" hidden="1" customHeight="1" thickBot="1">
      <c r="B9" s="275" t="s">
        <v>109</v>
      </c>
      <c r="C9" s="279" t="s">
        <v>704</v>
      </c>
      <c r="D9" s="281" t="s">
        <v>683</v>
      </c>
      <c r="E9" s="14"/>
      <c r="K9" s="136" t="b">
        <f>IF(E8="ne",FALSE,ISBLANK(E9))</f>
        <v>1</v>
      </c>
      <c r="L9" s="521"/>
      <c r="M9" s="528"/>
      <c r="N9" s="6"/>
    </row>
    <row r="10" spans="1:18" ht="49.5" hidden="1" customHeight="1">
      <c r="B10" s="275" t="s">
        <v>210</v>
      </c>
      <c r="C10" s="279" t="s">
        <v>709</v>
      </c>
      <c r="D10" s="280" t="s">
        <v>0</v>
      </c>
      <c r="E10" s="13"/>
      <c r="F10" s="261" t="str">
        <f>IFERROR(IF(E4="centrální zásobování teplem","Zadejte '0'",IF(((parametry!B74*GJ_na_kWh)/Kotel!E10)&lt;1000,"Příliš vysoký výkon zdroje",IF(((parametry!B74*GJ_na_kWh)/Kotel!E10)&gt;8000,"Příliš nízký výkon",""))),"Zadejte výkon pro kontrolu spotřeby")</f>
        <v>Zadejte výkon pro kontrolu spotřeby</v>
      </c>
      <c r="K10" s="136" t="b">
        <f>IF(E4="centrální zásobování teplem",ISBLANK(E7),ISBLANK(E10))</f>
        <v>1</v>
      </c>
      <c r="L10" s="521"/>
      <c r="M10" s="528"/>
      <c r="N10" s="6"/>
    </row>
    <row r="11" spans="1:18" hidden="1">
      <c r="E11" s="322"/>
      <c r="K11" s="136"/>
      <c r="L11" s="521"/>
      <c r="M11" s="528"/>
      <c r="N11" s="6"/>
    </row>
    <row r="12" spans="1:18" ht="15.75" hidden="1">
      <c r="A12" s="267"/>
      <c r="B12" s="282" t="s">
        <v>31</v>
      </c>
      <c r="C12" s="269" t="s">
        <v>706</v>
      </c>
      <c r="D12" s="283"/>
      <c r="E12" s="321"/>
      <c r="K12" s="136"/>
      <c r="L12" s="521"/>
      <c r="M12" s="528"/>
      <c r="N12" s="6"/>
    </row>
    <row r="13" spans="1:18" ht="35.450000000000003" hidden="1" customHeight="1" thickBot="1">
      <c r="B13" s="284" t="s">
        <v>32</v>
      </c>
      <c r="C13" s="277" t="s">
        <v>914</v>
      </c>
      <c r="D13" s="278" t="s">
        <v>30</v>
      </c>
      <c r="E13" s="10"/>
      <c r="F13" s="648" t="str">
        <f>IF(E13="kotel na štěpku, pelety nebo brikety","Nutno doložit smlouvu nebo čestné prohlášení o zabezpečení dodávky biomasy z lokálních zdrojů či budoucího dodavatele","")</f>
        <v/>
      </c>
      <c r="G13" s="649"/>
      <c r="H13" s="649"/>
      <c r="I13" s="650"/>
      <c r="K13" s="136" t="b">
        <f>ISBLANK(E13)</f>
        <v>1</v>
      </c>
      <c r="L13" s="521"/>
      <c r="M13" s="528"/>
      <c r="N13" s="6"/>
    </row>
    <row r="14" spans="1:18" ht="35.450000000000003" hidden="1" customHeight="1" thickBot="1">
      <c r="B14" s="285" t="s">
        <v>36</v>
      </c>
      <c r="C14" s="279" t="s">
        <v>913</v>
      </c>
      <c r="D14" s="281" t="s">
        <v>445</v>
      </c>
      <c r="E14" s="11"/>
      <c r="K14" s="136" t="b">
        <f>IF(E13="tepelné cerpadlo",TRUE,IF(ISBLANK(E14),TRUE,FALSE))</f>
        <v>1</v>
      </c>
      <c r="L14" s="521"/>
      <c r="M14" s="521"/>
      <c r="N14" s="6"/>
    </row>
    <row r="15" spans="1:18" ht="35.450000000000003" hidden="1" customHeight="1" thickBot="1">
      <c r="B15" s="285" t="s">
        <v>111</v>
      </c>
      <c r="C15" s="286" t="s">
        <v>704</v>
      </c>
      <c r="D15" s="281" t="s">
        <v>683</v>
      </c>
      <c r="E15" s="14"/>
      <c r="F15" s="651" t="str">
        <f>IF(OR(ISBLANK(E14),E14="ne"),"",IF(AND(E14="ano",ISBLANK(E15)),"Vyplňte účinnost nového zdroje",IF(AND(E14="ano",E15&lt;80%),"Nesplňuje požadavek na účinnost dle vyhl. 264/2020 Sb., minimální účinnost je 80%","Splňuje požadavek na účinnost dle vyhl. 264/2020 Sb.")))</f>
        <v/>
      </c>
      <c r="G15" s="652"/>
      <c r="K15" s="136" t="b">
        <f>IF(E13="tepelné cerpadlo",FALSE,IF(OR(ISBLANK(E14),AND(E14="ano",ISBLANK(E15))),TRUE,FALSE))</f>
        <v>1</v>
      </c>
      <c r="L15" s="521"/>
      <c r="M15" s="521"/>
      <c r="N15" s="6"/>
    </row>
    <row r="16" spans="1:18" ht="35.450000000000003" hidden="1" customHeight="1" thickBot="1">
      <c r="B16" s="285" t="s">
        <v>170</v>
      </c>
      <c r="C16" s="287" t="s">
        <v>709</v>
      </c>
      <c r="D16" s="281" t="s">
        <v>0</v>
      </c>
      <c r="E16" s="323"/>
      <c r="F16" s="653" t="str">
        <f>IF(AND(E16&gt;20000,E13="kotel na štěpku, pelety nebo brikety"),"",IF(E16&gt;20000,"Maximální příkon zdroje je v programu omezen na 20 000 kW",""))</f>
        <v/>
      </c>
      <c r="G16" s="654"/>
      <c r="K16" s="136" t="b">
        <f>IF(AND(E13="tepelné cerpadlo",ISBLANK(E16)),TRUE,IF(E13&lt;&gt;"tepelné cerpadlo",TRUE,FALSE))</f>
        <v>1</v>
      </c>
      <c r="L16" s="521"/>
      <c r="M16" s="521"/>
      <c r="N16" s="6"/>
    </row>
    <row r="17" spans="1:23" ht="43.15" hidden="1" customHeight="1" thickBot="1">
      <c r="B17" s="285" t="s">
        <v>113</v>
      </c>
      <c r="C17" s="279" t="s">
        <v>710</v>
      </c>
      <c r="D17" s="288" t="s">
        <v>37</v>
      </c>
      <c r="E17" s="14"/>
      <c r="F17" s="655" t="str">
        <f>IF(K16=TRUE,"","Sezónní účinnost 4,5 znamená, že tepelné cerpadlo při spotřebě 1 kWh elektřiny vyrobí 4,5 kWh tepla. Minimální požadavek vyhl. 264/2020 Sb. je COP = 3")</f>
        <v/>
      </c>
      <c r="G17" s="656"/>
      <c r="K17" s="136" t="b">
        <f>IF(OR(ISBLANK(E17),E17="ne"),TRUE,FALSE)</f>
        <v>1</v>
      </c>
      <c r="L17" s="521"/>
      <c r="M17" s="521"/>
      <c r="N17" s="6"/>
    </row>
    <row r="18" spans="1:23" ht="35.450000000000003" hidden="1" customHeight="1" thickBot="1">
      <c r="B18" s="285" t="s">
        <v>464</v>
      </c>
      <c r="C18" s="286" t="s">
        <v>711</v>
      </c>
      <c r="D18" s="280" t="s">
        <v>116</v>
      </c>
      <c r="E18" s="13"/>
      <c r="F18" s="655" t="str">
        <f>IF(ISBLANK(E17),"",IF(E17="ne","Pro výpočet bude použit COP 3",IF(AND(E17="ano",ISBLANK(E18)=TRUE),"Zadejte sezónní účinnost tepelného čerpadla",IF(E18&lt;3,"Nesplňuje požadavky dle vyhl. 264/2020 Sb., minimální COP je 3,00","Nově instalovaný zdroj splňuje požadavek na účinnost dle vyhl. 264/2020 Sb."))))</f>
        <v/>
      </c>
      <c r="G18" s="656"/>
      <c r="K18" s="136"/>
      <c r="L18" s="521"/>
      <c r="M18" s="521"/>
      <c r="N18" s="6"/>
    </row>
    <row r="19" spans="1:23" s="289" customFormat="1" ht="13.9" hidden="1" customHeight="1">
      <c r="B19" s="290"/>
      <c r="C19" s="291"/>
      <c r="D19" s="292"/>
      <c r="E19" s="324"/>
      <c r="F19" s="293"/>
      <c r="H19" s="294"/>
      <c r="I19" s="294"/>
      <c r="J19" s="294"/>
      <c r="K19" s="136" t="b">
        <f>IF(AND(E13="tepelné cerpadlo",OR(ISBLANK(E16),ISBLANK(E17),E17="ano"),ISBLANK(E18)),TRUE,IF(AND(E13&lt;&gt;"tepelné cerpadlo",ISBLANK(E16)),TRUE,FALSE))</f>
        <v>1</v>
      </c>
      <c r="L19" s="522"/>
      <c r="M19" s="522"/>
      <c r="N19" s="160"/>
    </row>
    <row r="20" spans="1:23" ht="16.5" hidden="1" thickBot="1">
      <c r="A20" s="267"/>
      <c r="B20" s="282" t="s">
        <v>40</v>
      </c>
      <c r="C20" s="269" t="s">
        <v>786</v>
      </c>
      <c r="D20" s="283"/>
      <c r="E20" s="321"/>
      <c r="K20" s="136"/>
      <c r="L20" s="521"/>
      <c r="M20" s="521"/>
      <c r="N20" s="6"/>
      <c r="P20" s="262" t="b">
        <f>AND(NOT(ISBLANK(Kotel!E16)),E13&lt;&gt;"tepelné cerpadlo")</f>
        <v>0</v>
      </c>
    </row>
    <row r="21" spans="1:23" s="289" customFormat="1" ht="35.450000000000003" hidden="1" customHeight="1">
      <c r="B21" s="275" t="s">
        <v>41</v>
      </c>
      <c r="C21" s="493" t="s">
        <v>785</v>
      </c>
      <c r="D21" s="280" t="s">
        <v>445</v>
      </c>
      <c r="E21" s="13"/>
      <c r="F21" s="295"/>
      <c r="H21" s="294"/>
      <c r="I21" s="294"/>
      <c r="J21" s="294"/>
      <c r="K21" s="294" t="b">
        <f>IF(AND(parametry!B136=2,parametry!B110=TRUE,OR(AND(NOT(ISBLANK(Kotel!E16)),E13&lt;&gt;"tepelné cerpadlo"),IF(ISBLANK(E17),FALSE,IF(E17="ne",TRUE,NOT(ISBLANK(E18)))))),FALSE,TRUE)</f>
        <v>1</v>
      </c>
      <c r="L21" s="523"/>
      <c r="M21" s="523" t="b">
        <f>IF(AND(parametry!B136=2,parametry!B110,OR(AND(NOT(ISBLANK(Kotel!E16)),E13&lt;&gt;"tepelné cerpadlo"),IF(ISBLANK(E17),FALSE,IF(E17="ne",TRUE,NOT(ISBLANK(E18)))))),FALSE,TRUE)</f>
        <v>1</v>
      </c>
      <c r="O21" s="289" t="b">
        <f>OR(AND(NOT(ISBLANK(Kotel!E16)),E13&lt;&gt;"tepelné cerpadlo"),IF(ISBLANK(E17),FALSE,IF(E17="ne",TRUE,NOT(ISBLANK(E18)))))</f>
        <v>0</v>
      </c>
      <c r="P21" s="289" t="b">
        <f>IF(ISBLANK(E17),FALSE,IF(E17="ne",TRUE,NOT(ISBLANK(E18))))</f>
        <v>0</v>
      </c>
    </row>
    <row r="22" spans="1:23" s="289" customFormat="1" hidden="1">
      <c r="B22" s="296"/>
      <c r="C22" s="297"/>
      <c r="D22" s="292"/>
      <c r="E22" s="325" t="str">
        <f>IF(K23=TRUE,"Konec formuláře","")</f>
        <v/>
      </c>
      <c r="F22" s="295"/>
      <c r="H22" s="294"/>
      <c r="I22" s="294"/>
      <c r="J22" s="294"/>
      <c r="K22" s="531"/>
      <c r="L22" s="523"/>
      <c r="M22" s="523"/>
    </row>
    <row r="23" spans="1:23" s="289" customFormat="1" hidden="1">
      <c r="B23" s="296"/>
      <c r="C23" s="297"/>
      <c r="D23" s="292"/>
      <c r="E23" s="298"/>
      <c r="F23" s="295"/>
      <c r="H23" s="294"/>
      <c r="I23" s="294"/>
      <c r="J23" s="294"/>
      <c r="K23" s="532" t="b">
        <f>IF(OR(AND(E13="tepelné cerpadlo",AND(E17="ano",ISBLANK(E18))),AND(E13&lt;&gt;"tepelné cerpadlo",ISBLANK(E16)),AND(K21=FALSE,ISBLANK(E21))),FALSE,TRUE)</f>
        <v>0</v>
      </c>
      <c r="L23" s="523"/>
      <c r="M23" s="523"/>
      <c r="T23" s="299"/>
    </row>
    <row r="24" spans="1:23" s="300" customFormat="1" hidden="1">
      <c r="B24" s="301"/>
      <c r="C24" s="302"/>
      <c r="D24" s="303"/>
      <c r="E24" s="304"/>
      <c r="F24" s="305"/>
      <c r="H24" s="306"/>
      <c r="I24" s="306"/>
      <c r="J24" s="306"/>
      <c r="K24" s="524"/>
      <c r="L24" s="524"/>
      <c r="M24" s="524"/>
    </row>
    <row r="25" spans="1:23" s="307" customFormat="1" ht="16.5" hidden="1" thickBot="1">
      <c r="B25" s="308" t="s">
        <v>40</v>
      </c>
      <c r="C25" s="236" t="s">
        <v>503</v>
      </c>
      <c r="D25" s="309"/>
      <c r="E25" s="310"/>
      <c r="F25" s="311"/>
      <c r="G25" s="294"/>
      <c r="H25" s="294"/>
      <c r="I25" s="294"/>
      <c r="J25" s="294"/>
      <c r="K25" s="523"/>
      <c r="L25" s="523"/>
      <c r="M25" s="523"/>
      <c r="N25" s="294"/>
      <c r="O25" s="294"/>
      <c r="P25" s="294"/>
      <c r="Q25" s="294"/>
      <c r="R25" s="294"/>
      <c r="S25" s="294"/>
      <c r="T25" s="294"/>
      <c r="U25" s="294"/>
      <c r="V25" s="294"/>
      <c r="W25" s="294"/>
    </row>
    <row r="26" spans="1:23" s="307" customFormat="1" ht="24.6" hidden="1" customHeight="1">
      <c r="B26" s="308"/>
      <c r="C26" s="647" t="str">
        <f>IF(OR(AND(F15&lt;&gt;"",F1&lt;&gt;""),F18="Zadejte sezónní účinnost tepelného čerpadla"),"Nejsou vyplněna všechna data",IF(OR(F15="Nesplňuje požadavek na účinnost dle vyhl. 264/2020 Sb., minimální účinnost je 80%",F18="Nesplňuje požadavky dle vyhl. 264/2020 Sb., minimální COP je 3,00"),"Nově instalovaný zdroj nesplňuje požadavek na účinnost dle vyhl. 264/2020 Sb.","Nově instalovaný zdroj splňuje požadavek na účinnost dle vyhl. 264/2020 Sb."))</f>
        <v>Nově instalovaný zdroj splňuje požadavek na účinnost dle vyhl. 264/2020 Sb.</v>
      </c>
      <c r="D26" s="647"/>
      <c r="E26" s="647"/>
      <c r="F26" s="311"/>
      <c r="G26" s="294"/>
      <c r="H26" s="294"/>
      <c r="I26" s="294"/>
      <c r="J26" s="294"/>
      <c r="K26" s="523"/>
      <c r="L26" s="523"/>
      <c r="M26" s="523"/>
      <c r="N26" s="294"/>
      <c r="O26" s="294"/>
      <c r="P26" s="294"/>
      <c r="Q26" s="294"/>
      <c r="R26" s="294"/>
      <c r="S26" s="294"/>
      <c r="T26" s="294"/>
      <c r="U26" s="294"/>
      <c r="V26" s="294"/>
      <c r="W26" s="294"/>
    </row>
    <row r="27" spans="1:23" s="307" customFormat="1" hidden="1">
      <c r="B27" s="308"/>
      <c r="C27" s="647" t="str">
        <f>IF(AND(E16&gt;20000,E13="kotel na štěpku, pelety nebo brikety"),"",IF(E16&gt;20000,"Nově instalovaný kotel má vyšší příkon než 20 MW, nesplňuje poždavek programu",""))</f>
        <v/>
      </c>
      <c r="D27" s="647"/>
      <c r="E27" s="647"/>
      <c r="F27" s="311"/>
      <c r="G27" s="294"/>
      <c r="H27" s="294"/>
      <c r="I27" s="294"/>
      <c r="J27" s="294"/>
      <c r="K27" s="523"/>
      <c r="L27" s="523"/>
      <c r="M27" s="523"/>
      <c r="N27" s="294"/>
      <c r="O27" s="294"/>
      <c r="P27" s="294"/>
      <c r="Q27" s="294"/>
      <c r="R27" s="294"/>
      <c r="S27" s="294"/>
      <c r="T27" s="294"/>
      <c r="U27" s="294"/>
      <c r="V27" s="294"/>
      <c r="W27" s="294"/>
    </row>
    <row r="28" spans="1:23" s="307" customFormat="1" ht="32.450000000000003" hidden="1" customHeight="1">
      <c r="B28" s="308"/>
      <c r="C28" s="647" t="str">
        <f>IF(E13="kotel na štěpku, pelety nebo brikety","Je instalován kotel na biomasu, je nutno doložit smlouvu nebo čestné prohlášení o zabezpečení dodávky biomasy z lokálních zdrojů či budoucího dodavatele","")</f>
        <v/>
      </c>
      <c r="D28" s="647"/>
      <c r="E28" s="647"/>
      <c r="F28" s="311"/>
      <c r="G28" s="294"/>
      <c r="H28" s="294"/>
      <c r="I28" s="294"/>
      <c r="J28" s="294"/>
      <c r="K28" s="523"/>
      <c r="L28" s="523"/>
      <c r="M28" s="523"/>
      <c r="N28" s="294"/>
      <c r="O28" s="294"/>
      <c r="P28" s="294"/>
      <c r="Q28" s="294"/>
      <c r="R28" s="294"/>
      <c r="S28" s="294"/>
      <c r="T28" s="294"/>
      <c r="U28" s="294"/>
      <c r="V28" s="294"/>
      <c r="W28" s="294"/>
    </row>
    <row r="29" spans="1:23" s="312" customFormat="1" ht="43.15" hidden="1" customHeight="1">
      <c r="F29" s="311"/>
      <c r="G29" s="294"/>
      <c r="H29" s="294"/>
      <c r="I29" s="294"/>
      <c r="J29" s="294"/>
      <c r="K29" s="523"/>
      <c r="L29" s="523"/>
      <c r="M29" s="523"/>
      <c r="N29" s="294"/>
      <c r="O29" s="294"/>
      <c r="P29" s="294"/>
      <c r="Q29" s="294"/>
      <c r="R29" s="294"/>
      <c r="S29" s="294"/>
      <c r="T29" s="294"/>
      <c r="U29" s="294"/>
      <c r="V29" s="294"/>
      <c r="W29" s="294"/>
    </row>
    <row r="30" spans="1:23" s="315" customFormat="1" ht="19.149999999999999" hidden="1" customHeight="1" thickBot="1">
      <c r="A30" s="313"/>
      <c r="B30" s="237" t="s">
        <v>107</v>
      </c>
      <c r="C30" s="238" t="s">
        <v>682</v>
      </c>
      <c r="D30" s="239"/>
      <c r="E30" s="240"/>
      <c r="F30" s="314"/>
      <c r="K30" s="525"/>
      <c r="L30" s="525"/>
      <c r="M30" s="525"/>
    </row>
    <row r="31" spans="1:23" s="294" customFormat="1" ht="30.6" hidden="1" customHeight="1" thickBot="1">
      <c r="A31" s="316"/>
      <c r="B31" s="241"/>
      <c r="C31" s="242" t="s">
        <v>679</v>
      </c>
      <c r="D31" s="243">
        <f>IF(parametry!B109=TRUE,parametry!B71*GJ_na_kWh,0)</f>
        <v>0</v>
      </c>
      <c r="E31" s="244" t="s">
        <v>676</v>
      </c>
      <c r="F31" s="311"/>
      <c r="K31" s="523"/>
      <c r="L31" s="523"/>
      <c r="M31" s="523"/>
    </row>
    <row r="32" spans="1:23" s="263" customFormat="1" ht="19.149999999999999" hidden="1" customHeight="1" thickBot="1">
      <c r="A32" s="317"/>
      <c r="B32" s="51"/>
      <c r="C32" s="52" t="s">
        <v>674</v>
      </c>
      <c r="D32" s="53"/>
      <c r="E32" s="54"/>
      <c r="F32" s="318"/>
      <c r="K32" s="319"/>
      <c r="L32" s="319"/>
      <c r="M32" s="319"/>
    </row>
    <row r="33" spans="1:13" s="263" customFormat="1" ht="19.149999999999999" hidden="1" customHeight="1" thickBot="1">
      <c r="A33" s="317"/>
      <c r="B33" s="51"/>
      <c r="C33" s="52" t="s">
        <v>168</v>
      </c>
      <c r="D33" s="53">
        <f>IF(E4="elektrokotel",D31,0)</f>
        <v>0</v>
      </c>
      <c r="E33" s="153" t="s">
        <v>676</v>
      </c>
      <c r="F33" s="318"/>
      <c r="K33" s="319"/>
      <c r="L33" s="319"/>
      <c r="M33" s="319"/>
    </row>
    <row r="34" spans="1:13" s="263" customFormat="1" ht="19.149999999999999" hidden="1" customHeight="1" thickBot="1">
      <c r="A34" s="317"/>
      <c r="B34" s="51"/>
      <c r="C34" s="52" t="s">
        <v>680</v>
      </c>
      <c r="D34" s="53">
        <f>IF(E4="elektrokotel",0,D31)</f>
        <v>0</v>
      </c>
      <c r="E34" s="153" t="s">
        <v>676</v>
      </c>
      <c r="F34" s="318"/>
      <c r="K34" s="319"/>
      <c r="L34" s="319"/>
      <c r="M34" s="319"/>
    </row>
    <row r="35" spans="1:13" s="263" customFormat="1" ht="31.9" hidden="1" customHeight="1" thickBot="1">
      <c r="A35" s="317"/>
      <c r="B35" s="51"/>
      <c r="C35" s="52" t="s">
        <v>681</v>
      </c>
      <c r="D35" s="53">
        <f>IF(parametry!B109=TRUE,IF(parametry!B75*GJ_na_kWh&lt;0,-parametry!B75*GJ_na_kWh,parametry!B75*GJ_na_kWh),0)</f>
        <v>0</v>
      </c>
      <c r="E35" s="153" t="s">
        <v>676</v>
      </c>
      <c r="K35" s="319"/>
      <c r="L35" s="319"/>
      <c r="M35" s="319"/>
    </row>
    <row r="36" spans="1:13" s="263" customFormat="1" ht="19.149999999999999" hidden="1" customHeight="1" thickBot="1">
      <c r="A36" s="317"/>
      <c r="B36" s="51"/>
      <c r="C36" s="52" t="s">
        <v>673</v>
      </c>
      <c r="D36" s="53">
        <f>IF(parametry!B109=TRUE,parametry!B80*GJ_na_kWh,0)</f>
        <v>0</v>
      </c>
      <c r="E36" s="153" t="s">
        <v>676</v>
      </c>
      <c r="K36" s="319"/>
      <c r="L36" s="319"/>
      <c r="M36" s="319"/>
    </row>
    <row r="37" spans="1:13" s="263" customFormat="1" ht="19.149999999999999" hidden="1" customHeight="1">
      <c r="A37" s="317"/>
      <c r="B37" s="51"/>
      <c r="C37" s="52" t="s">
        <v>673</v>
      </c>
      <c r="D37" s="55">
        <f>IFERROR(D36/D31,0)</f>
        <v>0</v>
      </c>
      <c r="E37" s="54"/>
      <c r="K37" s="319"/>
      <c r="L37" s="319"/>
      <c r="M37" s="319"/>
    </row>
    <row r="38" spans="1:13" s="263" customFormat="1" ht="19.149999999999999" hidden="1" customHeight="1" thickBot="1">
      <c r="A38" s="317"/>
      <c r="B38" s="51"/>
      <c r="C38" s="56" t="s">
        <v>674</v>
      </c>
      <c r="D38" s="57"/>
      <c r="E38" s="54"/>
      <c r="K38" s="319"/>
      <c r="L38" s="319"/>
      <c r="M38" s="319"/>
    </row>
    <row r="39" spans="1:13" s="263" customFormat="1" ht="19.149999999999999" hidden="1" customHeight="1" thickBot="1">
      <c r="A39" s="317"/>
      <c r="B39" s="51"/>
      <c r="C39" s="58" t="s">
        <v>226</v>
      </c>
      <c r="D39" s="53">
        <f>IF(parametry!B109=TRUE,parametry!B81*GJ_na_kWh,0)</f>
        <v>0</v>
      </c>
      <c r="E39" s="153" t="s">
        <v>676</v>
      </c>
      <c r="K39" s="319"/>
      <c r="L39" s="319"/>
      <c r="M39" s="319"/>
    </row>
    <row r="40" spans="1:13" s="263" customFormat="1" ht="19.149999999999999" hidden="1" customHeight="1" thickBot="1">
      <c r="A40" s="317"/>
      <c r="B40" s="51"/>
      <c r="C40" s="58" t="s">
        <v>168</v>
      </c>
      <c r="D40" s="53">
        <f>IF(parametry!B109=TRUE,parametry!B82*GJ_na_kWh,0)</f>
        <v>0</v>
      </c>
      <c r="E40" s="153" t="s">
        <v>676</v>
      </c>
      <c r="F40" s="318"/>
      <c r="K40" s="319"/>
      <c r="L40" s="319"/>
      <c r="M40" s="319"/>
    </row>
    <row r="41" spans="1:13" s="263" customFormat="1" ht="19.149999999999999" hidden="1" customHeight="1">
      <c r="A41" s="317"/>
      <c r="B41" s="51"/>
      <c r="C41" s="133" t="s">
        <v>675</v>
      </c>
      <c r="D41" s="134">
        <f>IF(parametry!B109=TRUE,parametry!J77,0)</f>
        <v>0</v>
      </c>
      <c r="E41" s="135" t="s">
        <v>677</v>
      </c>
      <c r="K41" s="319"/>
      <c r="L41" s="319"/>
      <c r="M41" s="319"/>
    </row>
    <row r="42" spans="1:13" s="263" customFormat="1" ht="19.149999999999999" hidden="1" customHeight="1">
      <c r="A42" s="317"/>
      <c r="B42" s="51"/>
      <c r="C42" s="133" t="s">
        <v>475</v>
      </c>
      <c r="D42" s="134">
        <f>IF(parametry!B109=TRUE,parametry!K77,0)</f>
        <v>0</v>
      </c>
      <c r="E42" s="135" t="s">
        <v>678</v>
      </c>
      <c r="K42" s="319"/>
      <c r="L42" s="319"/>
      <c r="M42" s="319"/>
    </row>
    <row r="43" spans="1:13" s="319" customFormat="1" ht="19.149999999999999" hidden="1" customHeight="1">
      <c r="B43" s="18"/>
      <c r="C43" s="6"/>
      <c r="D43" s="6"/>
      <c r="E43" s="6"/>
      <c r="F43" s="320"/>
      <c r="H43" s="263"/>
      <c r="I43" s="263"/>
      <c r="J43" s="263"/>
    </row>
    <row r="44" spans="1:13" ht="43.15" customHeight="1">
      <c r="C44" s="2"/>
    </row>
  </sheetData>
  <sheetProtection selectLockedCells="1"/>
  <mergeCells count="9">
    <mergeCell ref="G1:H3"/>
    <mergeCell ref="C27:E27"/>
    <mergeCell ref="C28:E28"/>
    <mergeCell ref="F13:I13"/>
    <mergeCell ref="F15:G15"/>
    <mergeCell ref="F16:G16"/>
    <mergeCell ref="C26:E26"/>
    <mergeCell ref="F17:G17"/>
    <mergeCell ref="F18:G18"/>
  </mergeCells>
  <dataValidations xWindow="581" yWindow="457" count="13">
    <dataValidation type="decimal" allowBlank="1" showInputMessage="1" showErrorMessage="1" prompt="0-1000" sqref="D27:D28 D25">
      <formula1>0</formula1>
      <formula2>1000</formula2>
    </dataValidation>
    <dataValidation type="decimal" allowBlank="1" showInputMessage="1" showErrorMessage="1" prompt="1-6" sqref="E18">
      <formula1>1</formula1>
      <formula2>6</formula2>
    </dataValidation>
    <dataValidation type="list" allowBlank="1" showInputMessage="1" showErrorMessage="1" sqref="E17">
      <formula1>"ano,ne"</formula1>
    </dataValidation>
    <dataValidation type="decimal" allowBlank="1" showInputMessage="1" showErrorMessage="1" prompt="0-99,5%" sqref="E9">
      <formula1>0</formula1>
      <formula2>0.995</formula2>
    </dataValidation>
    <dataValidation type="list" allowBlank="1" showInputMessage="1" showErrorMessage="1" sqref="E8 E14 E21">
      <formula1>ano_ne</formula1>
    </dataValidation>
    <dataValidation allowBlank="1" showErrorMessage="1" prompt="0-1000" sqref="D22:D24"/>
    <dataValidation type="list" allowBlank="1" showInputMessage="1" showErrorMessage="1" sqref="E13">
      <formula1>nový_kotel</formula1>
    </dataValidation>
    <dataValidation type="decimal" allowBlank="1" showInputMessage="1" showErrorMessage="1" prompt="0-111%" sqref="E15">
      <formula1>0</formula1>
      <formula2>1.11</formula2>
    </dataValidation>
    <dataValidation allowBlank="1" showErrorMessage="1" prompt="0-6" sqref="D19"/>
    <dataValidation type="list" allowBlank="1" showErrorMessage="1" prompt="0-1000" sqref="E14">
      <formula1>$A$63:$A$64</formula1>
    </dataValidation>
    <dataValidation type="list" allowBlank="1" showInputMessage="1" showErrorMessage="1" sqref="E5">
      <formula1>kotel_stáří</formula1>
    </dataValidation>
    <dataValidation type="decimal" allowBlank="1" showInputMessage="1" showErrorMessage="1" prompt="0-50000" sqref="E10 E16">
      <formula1>0</formula1>
      <formula2>50000</formula2>
    </dataValidation>
    <dataValidation type="list" allowBlank="1" showInputMessage="1" showErrorMessage="1" sqref="E6">
      <formula1>INDIRECT(SUBSTITUTE(E4," ","_"))</formula1>
    </dataValidation>
  </dataValidations>
  <pageMargins left="0.7" right="0.7" top="0.78740157499999996" bottom="0.78740157499999996" header="0.3" footer="0.3"/>
  <pageSetup paperSize="9" orientation="portrait" r:id="rId1"/>
  <ignoredErrors>
    <ignoredError sqref="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Button 4">
              <controlPr defaultSize="0" print="0" autoFill="0" autoPict="0" macro="[0]!Button23_Click">
                <anchor moveWithCells="1" sizeWithCells="1">
                  <from>
                    <xdr:col>3</xdr:col>
                    <xdr:colOff>28575</xdr:colOff>
                    <xdr:row>0</xdr:row>
                    <xdr:rowOff>66675</xdr:rowOff>
                  </from>
                  <to>
                    <xdr:col>3</xdr:col>
                    <xdr:colOff>1276350</xdr:colOff>
                    <xdr:row>1</xdr:row>
                    <xdr:rowOff>57150</xdr:rowOff>
                  </to>
                </anchor>
              </controlPr>
            </control>
          </mc:Choice>
        </mc:AlternateContent>
        <mc:AlternateContent xmlns:mc="http://schemas.openxmlformats.org/markup-compatibility/2006">
          <mc:Choice Requires="x14">
            <control shapeId="12293" r:id="rId5" name="Button 5">
              <controlPr defaultSize="0" print="0" autoFill="0" autoPict="0" macro="[0]!Button23_Click">
                <anchor moveWithCells="1" sizeWithCells="1">
                  <from>
                    <xdr:col>1</xdr:col>
                    <xdr:colOff>581025</xdr:colOff>
                    <xdr:row>43</xdr:row>
                    <xdr:rowOff>276225</xdr:rowOff>
                  </from>
                  <to>
                    <xdr:col>2</xdr:col>
                    <xdr:colOff>1219200</xdr:colOff>
                    <xdr:row>44</xdr:row>
                    <xdr:rowOff>57150</xdr:rowOff>
                  </to>
                </anchor>
              </controlPr>
            </control>
          </mc:Choice>
        </mc:AlternateContent>
        <mc:AlternateContent xmlns:mc="http://schemas.openxmlformats.org/markup-compatibility/2006">
          <mc:Choice Requires="x14">
            <control shapeId="12294" r:id="rId6" name="Button 6">
              <controlPr defaultSize="0" print="0" autoFill="0" autoPict="0" macro="[0]!List2.reset_Kotel">
                <anchor moveWithCells="1" sizeWithCells="1">
                  <from>
                    <xdr:col>6</xdr:col>
                    <xdr:colOff>619125</xdr:colOff>
                    <xdr:row>3</xdr:row>
                    <xdr:rowOff>114300</xdr:rowOff>
                  </from>
                  <to>
                    <xdr:col>6</xdr:col>
                    <xdr:colOff>1343025</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1" yWindow="457" count="4">
        <x14:dataValidation type="list" allowBlank="1" showInputMessage="1" showErrorMessage="1">
          <x14:formula1>
            <xm:f>parametry!$N$1:$S$1</xm:f>
          </x14:formula1>
          <xm:sqref>E4</xm:sqref>
        </x14:dataValidation>
        <x14:dataValidation type="list" allowBlank="1" showErrorMessage="1" prompt="0-1000">
          <x14:formula1>
            <xm:f>parametry!$A$61:$A$62</xm:f>
          </x14:formula1>
          <xm:sqref>E8 E21</xm:sqref>
        </x14:dataValidation>
        <x14:dataValidation type="list" allowBlank="1" showInputMessage="1" showErrorMessage="1">
          <x14:formula1>
            <xm:f>parametry!$A$43:$A$47</xm:f>
          </x14:formula1>
          <xm:sqref>E13</xm:sqref>
        </x14:dataValidation>
        <x14:dataValidation type="list" allowBlank="1" showInputMessage="1" showErrorMessage="1">
          <x14:formula1>
            <xm:f>parametry!$A$34:$A$35</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AF145"/>
  <sheetViews>
    <sheetView zoomScaleNormal="100" workbookViewId="0">
      <selection activeCell="A4" sqref="A4:XFD4"/>
    </sheetView>
  </sheetViews>
  <sheetFormatPr defaultColWidth="9.140625" defaultRowHeight="15"/>
  <cols>
    <col min="1" max="1" width="1.85546875" style="404" customWidth="1"/>
    <col min="2" max="2" width="9.140625" style="404"/>
    <col min="3" max="3" width="47.28515625" style="404" customWidth="1"/>
    <col min="4" max="4" width="18.140625" style="404" customWidth="1"/>
    <col min="5" max="5" width="18.7109375" style="404" customWidth="1"/>
    <col min="6" max="6" width="21.28515625" style="404" customWidth="1"/>
    <col min="7" max="7" width="16" style="404" bestFit="1" customWidth="1"/>
    <col min="8" max="8" width="10" style="404" bestFit="1" customWidth="1"/>
    <col min="9" max="10" width="9.140625" style="404"/>
    <col min="11" max="11" width="8.85546875" style="404" customWidth="1"/>
    <col min="12" max="12" width="13.85546875" style="526" customWidth="1"/>
    <col min="13" max="16384" width="9.140625" style="404"/>
  </cols>
  <sheetData>
    <row r="1" spans="1:32" s="262" customFormat="1" ht="26.25">
      <c r="B1" s="259" t="s">
        <v>779</v>
      </c>
      <c r="D1" s="2"/>
      <c r="E1" s="258"/>
      <c r="F1" s="258"/>
      <c r="G1" s="619" t="s">
        <v>917</v>
      </c>
      <c r="H1" s="657"/>
      <c r="I1" s="620"/>
      <c r="K1" s="537"/>
      <c r="L1" s="538"/>
      <c r="M1" s="537"/>
    </row>
    <row r="2" spans="1:32" s="262" customFormat="1" ht="15" customHeight="1" thickBot="1">
      <c r="B2" s="264"/>
      <c r="C2" s="264"/>
      <c r="D2" s="265"/>
      <c r="E2" s="264"/>
      <c r="F2" s="264"/>
      <c r="G2" s="621"/>
      <c r="H2" s="658"/>
      <c r="I2" s="622"/>
      <c r="K2" s="537"/>
      <c r="L2" s="538"/>
      <c r="M2" s="537"/>
    </row>
    <row r="3" spans="1:32" ht="16.5" thickBot="1">
      <c r="A3" s="403"/>
      <c r="B3" s="8" t="s">
        <v>110</v>
      </c>
      <c r="C3" s="9" t="s">
        <v>692</v>
      </c>
      <c r="D3" s="9"/>
      <c r="E3" s="450"/>
      <c r="F3" s="422"/>
      <c r="G3" s="447"/>
      <c r="H3" s="447"/>
      <c r="I3" s="447"/>
      <c r="J3" s="403"/>
      <c r="K3" s="447"/>
      <c r="L3" s="539"/>
      <c r="M3" s="447"/>
      <c r="N3" s="403"/>
      <c r="O3" s="403"/>
      <c r="P3" s="403"/>
      <c r="Q3" s="403"/>
      <c r="R3" s="403"/>
      <c r="S3" s="403"/>
      <c r="T3" s="403"/>
      <c r="U3" s="403"/>
      <c r="V3" s="403"/>
      <c r="W3" s="403"/>
      <c r="X3" s="403"/>
      <c r="Y3" s="403"/>
      <c r="Z3" s="403"/>
      <c r="AA3" s="403"/>
      <c r="AB3" s="403"/>
      <c r="AC3" s="403"/>
      <c r="AD3" s="403"/>
      <c r="AE3" s="403"/>
      <c r="AF3" s="403"/>
    </row>
    <row r="4" spans="1:32" ht="35.450000000000003" customHeight="1" thickBot="1">
      <c r="A4" s="403"/>
      <c r="B4" s="423" t="s">
        <v>592</v>
      </c>
      <c r="C4" s="338" t="s">
        <v>693</v>
      </c>
      <c r="D4" s="424" t="s">
        <v>37</v>
      </c>
      <c r="E4" s="13"/>
      <c r="F4" s="425"/>
      <c r="G4" s="403"/>
      <c r="H4" s="403"/>
      <c r="I4" s="403"/>
      <c r="J4" s="403"/>
      <c r="K4" s="447"/>
      <c r="L4" s="3" t="b">
        <f>ISBLANK(E4)</f>
        <v>1</v>
      </c>
      <c r="M4" s="447"/>
      <c r="N4" s="403"/>
      <c r="O4" s="403"/>
      <c r="P4" s="403"/>
      <c r="Q4" s="403"/>
      <c r="R4" s="403"/>
      <c r="S4" s="403"/>
      <c r="T4" s="403"/>
      <c r="U4" s="403"/>
      <c r="V4" s="403"/>
      <c r="W4" s="403"/>
      <c r="X4" s="403"/>
      <c r="Y4" s="403"/>
      <c r="Z4" s="403"/>
      <c r="AA4" s="403"/>
      <c r="AB4" s="403"/>
      <c r="AC4" s="403"/>
      <c r="AD4" s="403"/>
      <c r="AE4" s="403"/>
      <c r="AF4" s="403"/>
    </row>
    <row r="5" spans="1:32" ht="35.450000000000003" hidden="1" customHeight="1" thickBot="1">
      <c r="A5" s="403"/>
      <c r="B5" s="426" t="s">
        <v>593</v>
      </c>
      <c r="C5" s="427" t="s">
        <v>124</v>
      </c>
      <c r="D5" s="424"/>
      <c r="E5" s="195"/>
      <c r="F5" s="428" t="str">
        <f>IF(AND(E4="ano",E5=0),"Uveďte počet zdrojů","")</f>
        <v/>
      </c>
      <c r="H5" s="403"/>
      <c r="I5" s="403"/>
      <c r="J5" s="403"/>
      <c r="K5" s="447"/>
      <c r="L5" s="3" t="b">
        <f>ISBLANK(E5)</f>
        <v>1</v>
      </c>
      <c r="M5" s="447"/>
      <c r="N5" s="403"/>
      <c r="O5" s="403"/>
      <c r="P5" s="403"/>
      <c r="Q5" s="403"/>
      <c r="R5" s="403"/>
      <c r="S5" s="403"/>
      <c r="T5" s="403"/>
      <c r="U5" s="403"/>
      <c r="V5" s="403"/>
      <c r="W5" s="403"/>
      <c r="X5" s="403"/>
      <c r="Y5" s="403"/>
      <c r="Z5" s="403"/>
      <c r="AA5" s="403"/>
      <c r="AB5" s="403"/>
      <c r="AC5" s="403"/>
      <c r="AD5" s="403"/>
      <c r="AE5" s="403"/>
      <c r="AF5" s="403"/>
    </row>
    <row r="6" spans="1:32" ht="35.450000000000003" hidden="1" customHeight="1" thickBot="1">
      <c r="A6" s="403"/>
      <c r="B6" s="426" t="s">
        <v>594</v>
      </c>
      <c r="C6" s="427" t="s">
        <v>127</v>
      </c>
      <c r="D6" s="424" t="s">
        <v>37</v>
      </c>
      <c r="E6" s="196"/>
      <c r="F6" s="425"/>
      <c r="G6" s="403"/>
      <c r="H6" s="403"/>
      <c r="I6" s="403"/>
      <c r="J6" s="403"/>
      <c r="K6" s="447"/>
      <c r="L6" s="3" t="b">
        <f>ISBLANK(E6)</f>
        <v>1</v>
      </c>
      <c r="M6" s="447"/>
      <c r="N6" s="403"/>
      <c r="O6" s="403"/>
      <c r="P6" s="403"/>
      <c r="Q6" s="403"/>
      <c r="R6" s="403"/>
      <c r="S6" s="403"/>
      <c r="T6" s="403"/>
      <c r="U6" s="403"/>
      <c r="V6" s="403"/>
      <c r="W6" s="403"/>
      <c r="X6" s="403"/>
      <c r="Y6" s="403"/>
      <c r="Z6" s="403"/>
      <c r="AA6" s="403"/>
      <c r="AB6" s="403"/>
      <c r="AC6" s="403"/>
      <c r="AD6" s="403"/>
      <c r="AE6" s="403"/>
      <c r="AF6" s="403"/>
    </row>
    <row r="7" spans="1:32" ht="35.450000000000003" hidden="1" customHeight="1" thickBot="1">
      <c r="A7" s="403"/>
      <c r="B7" s="426" t="s">
        <v>595</v>
      </c>
      <c r="C7" s="429" t="s">
        <v>128</v>
      </c>
      <c r="D7" s="424" t="s">
        <v>125</v>
      </c>
      <c r="E7" s="195"/>
      <c r="F7" s="428" t="e">
        <f>IF(AND(E6="ano",ISBLANK(E7)=TRUE),"Zadejte celkový příkon",IF(E7/E5&lt;40,"Uvedený celkový příkon je příliž malý, minimální průměrný příkon 1 žárovky je 40 W ",""))</f>
        <v>#DIV/0!</v>
      </c>
      <c r="G7" s="403"/>
      <c r="H7" s="403"/>
      <c r="J7" s="403"/>
      <c r="K7" s="447"/>
      <c r="L7" s="3"/>
      <c r="M7" s="447"/>
      <c r="N7" s="403"/>
      <c r="O7" s="403"/>
      <c r="P7" s="403"/>
      <c r="Q7" s="403"/>
      <c r="R7" s="403"/>
      <c r="S7" s="403"/>
      <c r="T7" s="403"/>
      <c r="U7" s="403"/>
      <c r="V7" s="403"/>
      <c r="W7" s="403"/>
      <c r="X7" s="403"/>
      <c r="Y7" s="403"/>
      <c r="Z7" s="403"/>
      <c r="AA7" s="403"/>
      <c r="AB7" s="403"/>
      <c r="AC7" s="403"/>
      <c r="AD7" s="403"/>
      <c r="AE7" s="403"/>
      <c r="AF7" s="403"/>
    </row>
    <row r="8" spans="1:32" ht="35.450000000000003" hidden="1" customHeight="1" thickBot="1">
      <c r="A8" s="403"/>
      <c r="B8" s="426" t="s">
        <v>596</v>
      </c>
      <c r="C8" s="427" t="s">
        <v>126</v>
      </c>
      <c r="D8" s="424" t="s">
        <v>125</v>
      </c>
      <c r="E8" s="195"/>
      <c r="F8" s="395" t="str">
        <f>IF(AND(E6="ne",E8=0),"Zadejte průměrný příkon","")</f>
        <v/>
      </c>
      <c r="H8" s="403"/>
      <c r="I8" s="403"/>
      <c r="J8" s="403"/>
      <c r="K8" s="447"/>
      <c r="L8" s="3"/>
      <c r="M8" s="447"/>
      <c r="N8" s="403"/>
      <c r="O8" s="403"/>
      <c r="P8" s="403"/>
      <c r="Q8" s="403"/>
      <c r="R8" s="403"/>
      <c r="S8" s="403"/>
      <c r="T8" s="403"/>
      <c r="U8" s="403"/>
      <c r="V8" s="403"/>
      <c r="W8" s="403"/>
      <c r="X8" s="403"/>
      <c r="Y8" s="403"/>
      <c r="Z8" s="403"/>
      <c r="AA8" s="403"/>
      <c r="AB8" s="403"/>
      <c r="AC8" s="403"/>
      <c r="AD8" s="403"/>
      <c r="AE8" s="403"/>
      <c r="AF8" s="403"/>
    </row>
    <row r="9" spans="1:32" ht="13.9" hidden="1" customHeight="1" thickBot="1">
      <c r="A9" s="403"/>
      <c r="B9" s="430"/>
      <c r="C9" s="431"/>
      <c r="D9" s="432"/>
      <c r="E9" s="451"/>
      <c r="F9" s="395"/>
      <c r="G9" s="403"/>
      <c r="H9" s="403"/>
      <c r="I9" s="403"/>
      <c r="J9" s="403"/>
      <c r="K9" s="447"/>
      <c r="L9" s="421" t="b">
        <f>IF(ISBLANK(E4),TRUE,IF(E4="ne",FALSE,IF(OR(ISBLANK(E6),AND(E6="ano",ISBLANK(E7)),AND(E6="ne",ISBLANK(E8))),TRUE,FALSE)))</f>
        <v>1</v>
      </c>
      <c r="M9" s="447"/>
      <c r="N9" s="403"/>
      <c r="O9" s="403"/>
      <c r="P9" s="403"/>
      <c r="Q9" s="403"/>
      <c r="R9" s="403"/>
      <c r="S9" s="403"/>
      <c r="T9" s="403"/>
      <c r="U9" s="403"/>
      <c r="V9" s="403"/>
      <c r="W9" s="403"/>
      <c r="X9" s="403"/>
      <c r="Y9" s="403"/>
      <c r="Z9" s="403"/>
      <c r="AA9" s="403"/>
      <c r="AB9" s="403"/>
      <c r="AC9" s="403"/>
      <c r="AD9" s="403"/>
      <c r="AE9" s="403"/>
      <c r="AF9" s="403"/>
    </row>
    <row r="10" spans="1:32" ht="35.450000000000003" hidden="1" customHeight="1" thickBot="1">
      <c r="A10" s="403"/>
      <c r="B10" s="423" t="s">
        <v>597</v>
      </c>
      <c r="C10" s="338" t="s">
        <v>694</v>
      </c>
      <c r="D10" s="424" t="s">
        <v>37</v>
      </c>
      <c r="E10" s="196"/>
      <c r="F10" s="425"/>
      <c r="G10" s="403"/>
      <c r="I10" s="403"/>
      <c r="J10" s="403"/>
      <c r="K10" s="447"/>
      <c r="L10" s="3" t="b">
        <f>ISBLANK(E10)</f>
        <v>1</v>
      </c>
      <c r="M10" s="447"/>
      <c r="N10" s="403"/>
      <c r="O10" s="403"/>
      <c r="P10" s="403"/>
      <c r="Q10" s="403"/>
      <c r="R10" s="403"/>
      <c r="S10" s="403"/>
      <c r="T10" s="403"/>
      <c r="U10" s="403"/>
      <c r="V10" s="403"/>
      <c r="W10" s="403"/>
      <c r="X10" s="403"/>
      <c r="Y10" s="403"/>
      <c r="Z10" s="403"/>
      <c r="AA10" s="403"/>
      <c r="AB10" s="403"/>
      <c r="AC10" s="403"/>
      <c r="AD10" s="403"/>
      <c r="AE10" s="403"/>
      <c r="AF10" s="403"/>
    </row>
    <row r="11" spans="1:32" ht="35.450000000000003" hidden="1" customHeight="1" thickBot="1">
      <c r="A11" s="403"/>
      <c r="B11" s="426" t="s">
        <v>598</v>
      </c>
      <c r="C11" s="338" t="s">
        <v>124</v>
      </c>
      <c r="D11" s="424"/>
      <c r="E11" s="195"/>
      <c r="F11" s="428" t="str">
        <f>IF(AND(E10="ano",E11=0),"Uveďte počet zdrojů","")</f>
        <v/>
      </c>
      <c r="G11" s="433"/>
      <c r="H11" s="403"/>
      <c r="I11" s="403"/>
      <c r="J11" s="403"/>
      <c r="K11" s="447"/>
      <c r="L11" s="3" t="b">
        <f>ISBLANK(E11)</f>
        <v>1</v>
      </c>
      <c r="M11" s="447"/>
      <c r="N11" s="403"/>
      <c r="O11" s="403"/>
      <c r="P11" s="403"/>
      <c r="Q11" s="403"/>
      <c r="R11" s="403"/>
      <c r="S11" s="403"/>
      <c r="T11" s="403"/>
      <c r="U11" s="403"/>
      <c r="V11" s="403"/>
      <c r="W11" s="403"/>
      <c r="X11" s="403"/>
      <c r="Y11" s="403"/>
      <c r="Z11" s="403"/>
      <c r="AA11" s="403"/>
      <c r="AB11" s="403"/>
      <c r="AC11" s="403"/>
      <c r="AD11" s="403"/>
      <c r="AE11" s="403"/>
      <c r="AF11" s="403"/>
    </row>
    <row r="12" spans="1:32" ht="35.450000000000003" hidden="1" customHeight="1" thickBot="1">
      <c r="A12" s="403"/>
      <c r="B12" s="426" t="s">
        <v>599</v>
      </c>
      <c r="C12" s="427" t="s">
        <v>139</v>
      </c>
      <c r="D12" s="424" t="s">
        <v>37</v>
      </c>
      <c r="E12" s="196"/>
      <c r="F12" s="434"/>
      <c r="G12" s="403"/>
      <c r="H12" s="403"/>
      <c r="I12" s="403"/>
      <c r="J12" s="403"/>
      <c r="K12" s="447"/>
      <c r="L12" s="3" t="b">
        <f>ISBLANK(E12)</f>
        <v>1</v>
      </c>
      <c r="M12" s="447"/>
      <c r="N12" s="403"/>
      <c r="O12" s="403"/>
      <c r="P12" s="403"/>
      <c r="Q12" s="403"/>
      <c r="R12" s="403"/>
      <c r="S12" s="403"/>
      <c r="T12" s="403"/>
      <c r="U12" s="403"/>
      <c r="V12" s="403"/>
      <c r="W12" s="403"/>
      <c r="X12" s="403"/>
      <c r="Y12" s="403"/>
      <c r="Z12" s="403"/>
      <c r="AA12" s="403"/>
      <c r="AB12" s="403"/>
      <c r="AC12" s="403"/>
      <c r="AD12" s="403"/>
      <c r="AE12" s="403"/>
      <c r="AF12" s="403"/>
    </row>
    <row r="13" spans="1:32" ht="35.450000000000003" hidden="1" customHeight="1" thickBot="1">
      <c r="A13" s="403"/>
      <c r="B13" s="426" t="s">
        <v>600</v>
      </c>
      <c r="C13" s="429" t="s">
        <v>128</v>
      </c>
      <c r="D13" s="424" t="s">
        <v>125</v>
      </c>
      <c r="E13" s="195"/>
      <c r="F13" s="428" t="e">
        <f>IF(AND(E12="ano",ISBLANK(E13)=TRUE),"Zadejte celkový příkon",IF(E13/E11&lt;30,"Uvedený celkový příkon je příliš malý, minimální příkon 1 žárovky je 30W",""))</f>
        <v>#DIV/0!</v>
      </c>
      <c r="G13" s="403"/>
      <c r="H13" s="403"/>
      <c r="I13" s="403"/>
      <c r="J13" s="403"/>
      <c r="K13" s="540"/>
      <c r="L13" s="3"/>
      <c r="M13" s="447"/>
      <c r="N13" s="403"/>
      <c r="O13" s="403"/>
      <c r="P13" s="403"/>
      <c r="Q13" s="403"/>
      <c r="R13" s="403"/>
      <c r="S13" s="403"/>
      <c r="T13" s="403"/>
      <c r="U13" s="403"/>
      <c r="V13" s="403"/>
      <c r="W13" s="403"/>
      <c r="X13" s="403"/>
      <c r="Y13" s="403"/>
      <c r="Z13" s="403"/>
      <c r="AA13" s="403"/>
      <c r="AB13" s="403"/>
      <c r="AC13" s="403"/>
      <c r="AD13" s="403"/>
      <c r="AE13" s="403"/>
      <c r="AF13" s="403"/>
    </row>
    <row r="14" spans="1:32" ht="35.450000000000003" hidden="1" customHeight="1" thickBot="1">
      <c r="A14" s="403"/>
      <c r="B14" s="426" t="s">
        <v>601</v>
      </c>
      <c r="C14" s="427" t="s">
        <v>140</v>
      </c>
      <c r="D14" s="424" t="s">
        <v>125</v>
      </c>
      <c r="E14" s="196"/>
      <c r="F14" s="428" t="str">
        <f>IF(AND(E12="ne",E14=0),"Zadejte průměrný příkon","")</f>
        <v/>
      </c>
      <c r="H14" s="403"/>
      <c r="I14" s="403"/>
      <c r="J14" s="403"/>
      <c r="K14" s="447"/>
      <c r="L14" s="3"/>
      <c r="M14" s="447"/>
      <c r="N14" s="403"/>
      <c r="O14" s="403"/>
      <c r="P14" s="403"/>
      <c r="Q14" s="403"/>
      <c r="R14" s="403"/>
      <c r="S14" s="403"/>
      <c r="T14" s="403"/>
      <c r="U14" s="403"/>
      <c r="V14" s="403"/>
      <c r="W14" s="403"/>
      <c r="X14" s="403"/>
      <c r="Y14" s="403"/>
      <c r="Z14" s="403"/>
      <c r="AA14" s="403"/>
      <c r="AB14" s="403"/>
      <c r="AC14" s="403"/>
      <c r="AD14" s="403"/>
      <c r="AE14" s="403"/>
      <c r="AF14" s="403"/>
    </row>
    <row r="15" spans="1:32" ht="13.9" hidden="1" customHeight="1" thickBot="1">
      <c r="A15" s="403"/>
      <c r="B15" s="435"/>
      <c r="C15" s="436"/>
      <c r="D15" s="437"/>
      <c r="E15" s="452"/>
      <c r="F15" s="428"/>
      <c r="G15" s="403"/>
      <c r="H15" s="403"/>
      <c r="I15" s="403"/>
      <c r="J15" s="403"/>
      <c r="K15" s="447"/>
      <c r="L15" s="421" t="b">
        <f>IF(ISBLANK(E10),TRUE,IF(E10="ne",FALSE,IF(OR(ISBLANK(E12),AND(E12="ano",ISBLANK(E13)),AND(E12="ne",ISBLANK(E14))),TRUE,FALSE)))</f>
        <v>1</v>
      </c>
      <c r="M15" s="447"/>
      <c r="N15" s="403"/>
      <c r="O15" s="403"/>
      <c r="P15" s="403"/>
      <c r="Q15" s="403"/>
      <c r="R15" s="403"/>
      <c r="S15" s="403"/>
      <c r="T15" s="403"/>
      <c r="U15" s="403"/>
      <c r="V15" s="403"/>
      <c r="W15" s="403"/>
      <c r="X15" s="403"/>
      <c r="Y15" s="403"/>
      <c r="Z15" s="403"/>
      <c r="AA15" s="403"/>
      <c r="AB15" s="403"/>
      <c r="AC15" s="403"/>
      <c r="AD15" s="403"/>
      <c r="AE15" s="403"/>
      <c r="AF15" s="403"/>
    </row>
    <row r="16" spans="1:32" ht="35.450000000000003" hidden="1" customHeight="1" thickBot="1">
      <c r="A16" s="403"/>
      <c r="B16" s="423" t="s">
        <v>602</v>
      </c>
      <c r="C16" s="338" t="s">
        <v>695</v>
      </c>
      <c r="D16" s="424" t="s">
        <v>37</v>
      </c>
      <c r="E16" s="196"/>
      <c r="F16" s="425"/>
      <c r="G16" s="403"/>
      <c r="H16" s="403"/>
      <c r="I16" s="403"/>
      <c r="J16" s="403"/>
      <c r="K16" s="447"/>
      <c r="L16" s="3" t="b">
        <f>ISBLANK(E16)</f>
        <v>1</v>
      </c>
      <c r="M16" s="447"/>
      <c r="N16" s="403"/>
      <c r="O16" s="403"/>
      <c r="P16" s="403"/>
      <c r="Q16" s="403"/>
      <c r="R16" s="403"/>
      <c r="S16" s="403"/>
      <c r="T16" s="403"/>
      <c r="U16" s="403"/>
      <c r="V16" s="403"/>
      <c r="W16" s="403"/>
      <c r="X16" s="403"/>
      <c r="Y16" s="403"/>
      <c r="Z16" s="403"/>
      <c r="AA16" s="403"/>
      <c r="AB16" s="403"/>
      <c r="AC16" s="403"/>
      <c r="AD16" s="403"/>
      <c r="AE16" s="403"/>
      <c r="AF16" s="403"/>
    </row>
    <row r="17" spans="1:32" ht="35.450000000000003" hidden="1" customHeight="1" thickBot="1">
      <c r="A17" s="403"/>
      <c r="B17" s="426" t="s">
        <v>603</v>
      </c>
      <c r="C17" s="338" t="s">
        <v>124</v>
      </c>
      <c r="D17" s="424"/>
      <c r="E17" s="195"/>
      <c r="F17" s="428" t="str">
        <f>IF(AND(E16="ano",E17=0),"Uveďte počet zdrojů","")</f>
        <v/>
      </c>
      <c r="H17" s="403"/>
      <c r="I17" s="403"/>
      <c r="J17" s="403"/>
      <c r="K17" s="447"/>
      <c r="L17" s="3" t="b">
        <f>ISBLANK(E17)</f>
        <v>1</v>
      </c>
      <c r="M17" s="447"/>
      <c r="N17" s="403"/>
      <c r="O17" s="403"/>
      <c r="P17" s="403"/>
      <c r="Q17" s="403"/>
      <c r="R17" s="403"/>
      <c r="S17" s="403"/>
      <c r="T17" s="403"/>
      <c r="U17" s="403"/>
      <c r="V17" s="403"/>
      <c r="W17" s="403"/>
      <c r="X17" s="403"/>
      <c r="Y17" s="403"/>
      <c r="Z17" s="403"/>
      <c r="AA17" s="403"/>
      <c r="AB17" s="403"/>
      <c r="AC17" s="403"/>
      <c r="AD17" s="403"/>
      <c r="AE17" s="403"/>
      <c r="AF17" s="403"/>
    </row>
    <row r="18" spans="1:32" ht="35.450000000000003" hidden="1" customHeight="1" thickBot="1">
      <c r="A18" s="403"/>
      <c r="B18" s="426" t="s">
        <v>604</v>
      </c>
      <c r="C18" s="427" t="s">
        <v>141</v>
      </c>
      <c r="D18" s="424" t="s">
        <v>37</v>
      </c>
      <c r="E18" s="196"/>
      <c r="F18" s="438"/>
      <c r="G18" s="403"/>
      <c r="H18" s="403"/>
      <c r="I18" s="403"/>
      <c r="J18" s="403"/>
      <c r="K18" s="447"/>
      <c r="L18" s="3" t="b">
        <f>ISBLANK(E18)</f>
        <v>1</v>
      </c>
      <c r="M18" s="447"/>
      <c r="N18" s="403"/>
      <c r="O18" s="403"/>
      <c r="P18" s="403"/>
      <c r="Q18" s="403"/>
      <c r="R18" s="403"/>
      <c r="S18" s="403"/>
      <c r="T18" s="403"/>
      <c r="U18" s="403"/>
      <c r="V18" s="403"/>
      <c r="W18" s="403"/>
      <c r="X18" s="403"/>
      <c r="Y18" s="403"/>
      <c r="Z18" s="403"/>
      <c r="AA18" s="403"/>
      <c r="AB18" s="403"/>
      <c r="AC18" s="403"/>
      <c r="AD18" s="403"/>
      <c r="AE18" s="403"/>
      <c r="AF18" s="403"/>
    </row>
    <row r="19" spans="1:32" ht="35.450000000000003" hidden="1" customHeight="1" thickBot="1">
      <c r="A19" s="403"/>
      <c r="B19" s="426" t="s">
        <v>605</v>
      </c>
      <c r="C19" s="429" t="s">
        <v>128</v>
      </c>
      <c r="D19" s="424" t="s">
        <v>125</v>
      </c>
      <c r="E19" s="195"/>
      <c r="F19" s="425" t="e">
        <f>IF(AND(E18="ano",ISBLANK(E19)=TRUE),"Zadejte celkový příkon",IF(E19/E17&lt;4,"Uvedený celkový příkon je příliš malý, minimální příkon 1 zářivky je 4W",""))</f>
        <v>#DIV/0!</v>
      </c>
      <c r="G19" s="403"/>
      <c r="H19" s="403"/>
      <c r="I19" s="403"/>
      <c r="J19" s="403"/>
      <c r="K19" s="447"/>
      <c r="L19" s="3"/>
      <c r="M19" s="447"/>
      <c r="N19" s="403"/>
      <c r="O19" s="403"/>
      <c r="P19" s="403"/>
      <c r="Q19" s="403"/>
      <c r="R19" s="403"/>
      <c r="S19" s="403"/>
      <c r="T19" s="403"/>
      <c r="U19" s="403"/>
      <c r="V19" s="403"/>
      <c r="W19" s="403"/>
      <c r="X19" s="403"/>
      <c r="Y19" s="403"/>
      <c r="Z19" s="403"/>
      <c r="AA19" s="403"/>
      <c r="AB19" s="403"/>
      <c r="AC19" s="403"/>
      <c r="AD19" s="403"/>
      <c r="AE19" s="403"/>
      <c r="AF19" s="403"/>
    </row>
    <row r="20" spans="1:32" ht="35.450000000000003" hidden="1" customHeight="1" thickBot="1">
      <c r="A20" s="403"/>
      <c r="B20" s="426" t="s">
        <v>606</v>
      </c>
      <c r="C20" s="427" t="s">
        <v>142</v>
      </c>
      <c r="D20" s="424" t="s">
        <v>125</v>
      </c>
      <c r="E20" s="196"/>
      <c r="F20" s="428" t="str">
        <f>IF(AND(E18="ne",E20=0),"Zadejte průměrný příkon","")</f>
        <v/>
      </c>
      <c r="H20" s="403"/>
      <c r="I20" s="403"/>
      <c r="J20" s="403"/>
      <c r="K20" s="447"/>
      <c r="L20" s="3"/>
      <c r="M20" s="447"/>
      <c r="N20" s="403"/>
      <c r="O20" s="403"/>
      <c r="P20" s="403"/>
      <c r="Q20" s="403"/>
      <c r="R20" s="403"/>
      <c r="S20" s="403"/>
      <c r="T20" s="403"/>
      <c r="U20" s="403"/>
      <c r="V20" s="403"/>
      <c r="W20" s="403"/>
      <c r="X20" s="403"/>
      <c r="Y20" s="403"/>
      <c r="Z20" s="403"/>
      <c r="AA20" s="403"/>
      <c r="AB20" s="403"/>
      <c r="AC20" s="403"/>
      <c r="AD20" s="403"/>
      <c r="AE20" s="403"/>
      <c r="AF20" s="403"/>
    </row>
    <row r="21" spans="1:32" ht="13.9" hidden="1" customHeight="1" thickBot="1">
      <c r="A21" s="403"/>
      <c r="B21" s="435"/>
      <c r="C21" s="436"/>
      <c r="D21" s="437"/>
      <c r="E21" s="452"/>
      <c r="F21" s="428"/>
      <c r="G21" s="403"/>
      <c r="H21" s="403"/>
      <c r="I21" s="403"/>
      <c r="J21" s="403"/>
      <c r="K21" s="447"/>
      <c r="L21" s="421" t="b">
        <f>IF(ISBLANK(E16),TRUE,IF(E16="ne",FALSE,IF(OR(ISBLANK(E18),AND(E18="ano",ISBLANK(E19)),AND(E18="ne",ISBLANK(E20))),TRUE,FALSE)))</f>
        <v>1</v>
      </c>
      <c r="M21" s="447"/>
      <c r="N21" s="403"/>
      <c r="O21" s="403"/>
      <c r="P21" s="403"/>
      <c r="Q21" s="403"/>
      <c r="R21" s="403"/>
      <c r="S21" s="403"/>
      <c r="T21" s="403"/>
      <c r="U21" s="403"/>
      <c r="V21" s="403"/>
      <c r="W21" s="403"/>
      <c r="X21" s="403"/>
      <c r="Y21" s="403"/>
      <c r="Z21" s="403"/>
      <c r="AA21" s="403"/>
      <c r="AB21" s="403"/>
      <c r="AC21" s="403"/>
      <c r="AD21" s="403"/>
      <c r="AE21" s="403"/>
      <c r="AF21" s="403"/>
    </row>
    <row r="22" spans="1:32" ht="35.450000000000003" hidden="1" customHeight="1" thickBot="1">
      <c r="A22" s="403"/>
      <c r="B22" s="423" t="s">
        <v>607</v>
      </c>
      <c r="C22" s="338" t="s">
        <v>696</v>
      </c>
      <c r="D22" s="424" t="s">
        <v>37</v>
      </c>
      <c r="E22" s="196"/>
      <c r="F22" s="425"/>
      <c r="G22" s="403"/>
      <c r="H22" s="403"/>
      <c r="I22" s="403"/>
      <c r="J22" s="403"/>
      <c r="K22" s="447"/>
      <c r="L22" s="3" t="b">
        <f>ISBLANK(E22)</f>
        <v>1</v>
      </c>
      <c r="M22" s="447"/>
      <c r="N22" s="403"/>
      <c r="O22" s="403"/>
      <c r="P22" s="403"/>
      <c r="Q22" s="403"/>
      <c r="R22" s="403"/>
      <c r="S22" s="403"/>
      <c r="T22" s="403"/>
      <c r="U22" s="403"/>
      <c r="V22" s="403"/>
      <c r="W22" s="403"/>
      <c r="X22" s="403"/>
      <c r="Y22" s="403"/>
      <c r="Z22" s="403"/>
      <c r="AA22" s="403"/>
      <c r="AB22" s="403"/>
      <c r="AC22" s="403"/>
      <c r="AD22" s="403"/>
      <c r="AE22" s="403"/>
      <c r="AF22" s="403"/>
    </row>
    <row r="23" spans="1:32" ht="35.450000000000003" hidden="1" customHeight="1" thickBot="1">
      <c r="A23" s="403"/>
      <c r="B23" s="426" t="s">
        <v>608</v>
      </c>
      <c r="C23" s="338" t="s">
        <v>124</v>
      </c>
      <c r="D23" s="424"/>
      <c r="E23" s="195"/>
      <c r="F23" s="428" t="str">
        <f>IF(AND(E22="ano",E23=0),"Uveďte počet zdrojů","")</f>
        <v/>
      </c>
      <c r="H23" s="403"/>
      <c r="I23" s="403"/>
      <c r="J23" s="403"/>
      <c r="K23" s="447"/>
      <c r="L23" s="3" t="b">
        <f>ISBLANK(E23)</f>
        <v>1</v>
      </c>
      <c r="M23" s="447"/>
      <c r="N23" s="403"/>
      <c r="O23" s="403"/>
      <c r="P23" s="403"/>
      <c r="Q23" s="403"/>
      <c r="R23" s="403"/>
      <c r="S23" s="403"/>
      <c r="T23" s="403"/>
      <c r="U23" s="403"/>
      <c r="V23" s="403"/>
      <c r="W23" s="403"/>
      <c r="X23" s="403"/>
      <c r="Y23" s="403"/>
      <c r="Z23" s="403"/>
      <c r="AA23" s="403"/>
      <c r="AB23" s="403"/>
      <c r="AC23" s="403"/>
      <c r="AD23" s="403"/>
      <c r="AE23" s="403"/>
      <c r="AF23" s="403"/>
    </row>
    <row r="24" spans="1:32" ht="35.450000000000003" hidden="1" customHeight="1" thickBot="1">
      <c r="A24" s="403"/>
      <c r="B24" s="426" t="s">
        <v>609</v>
      </c>
      <c r="C24" s="427" t="s">
        <v>143</v>
      </c>
      <c r="D24" s="424" t="s">
        <v>37</v>
      </c>
      <c r="E24" s="196"/>
      <c r="F24" s="425"/>
      <c r="G24" s="403"/>
      <c r="H24" s="403"/>
      <c r="I24" s="403"/>
      <c r="J24" s="403"/>
      <c r="K24" s="447"/>
      <c r="L24" s="3" t="b">
        <f>ISBLANK(E24)</f>
        <v>1</v>
      </c>
      <c r="M24" s="447"/>
      <c r="N24" s="403"/>
      <c r="O24" s="403"/>
      <c r="P24" s="403"/>
      <c r="Q24" s="403"/>
      <c r="R24" s="403"/>
      <c r="S24" s="403"/>
      <c r="T24" s="403"/>
      <c r="U24" s="403"/>
      <c r="V24" s="403"/>
      <c r="W24" s="403"/>
      <c r="X24" s="403"/>
      <c r="Y24" s="403"/>
      <c r="Z24" s="403"/>
      <c r="AA24" s="403"/>
      <c r="AB24" s="403"/>
      <c r="AC24" s="403"/>
      <c r="AD24" s="403"/>
      <c r="AE24" s="403"/>
      <c r="AF24" s="403"/>
    </row>
    <row r="25" spans="1:32" ht="35.450000000000003" hidden="1" customHeight="1" thickBot="1">
      <c r="A25" s="403"/>
      <c r="B25" s="426" t="s">
        <v>610</v>
      </c>
      <c r="C25" s="429" t="s">
        <v>128</v>
      </c>
      <c r="D25" s="424" t="s">
        <v>125</v>
      </c>
      <c r="E25" s="195"/>
      <c r="F25" s="428" t="e">
        <f>IF(AND(E24="ano",E25=0),"Zadejte celkový příkon",IF(E25/E23&lt;7,"Uvedený celkový příkon je příliš malý, minimální příkon 1 výbojky je 7W",""))</f>
        <v>#DIV/0!</v>
      </c>
      <c r="G25" s="403"/>
      <c r="I25" s="403"/>
      <c r="J25" s="403"/>
      <c r="K25" s="447"/>
      <c r="L25" s="3"/>
      <c r="M25" s="447"/>
      <c r="N25" s="403"/>
      <c r="O25" s="403"/>
      <c r="P25" s="403"/>
      <c r="Q25" s="403"/>
      <c r="R25" s="403"/>
      <c r="S25" s="403"/>
      <c r="T25" s="403"/>
      <c r="U25" s="403"/>
      <c r="V25" s="403"/>
      <c r="W25" s="403"/>
      <c r="X25" s="403"/>
      <c r="Y25" s="403"/>
      <c r="Z25" s="403"/>
      <c r="AA25" s="403"/>
      <c r="AB25" s="403"/>
      <c r="AC25" s="403"/>
      <c r="AD25" s="403"/>
      <c r="AE25" s="403"/>
      <c r="AF25" s="403"/>
    </row>
    <row r="26" spans="1:32" ht="35.450000000000003" hidden="1" customHeight="1" thickBot="1">
      <c r="A26" s="403"/>
      <c r="B26" s="426" t="s">
        <v>611</v>
      </c>
      <c r="C26" s="427" t="s">
        <v>144</v>
      </c>
      <c r="D26" s="424" t="s">
        <v>125</v>
      </c>
      <c r="E26" s="196"/>
      <c r="F26" s="428" t="str">
        <f>IF(AND(E24="ne",E26=0),"Zadejte průměrný příkon","")</f>
        <v/>
      </c>
      <c r="G26" s="403"/>
      <c r="H26" s="403"/>
      <c r="J26" s="403"/>
      <c r="K26" s="447"/>
      <c r="L26" s="3"/>
      <c r="M26" s="447"/>
      <c r="N26" s="403"/>
      <c r="O26" s="403"/>
      <c r="P26" s="403"/>
      <c r="Q26" s="403"/>
      <c r="R26" s="403"/>
      <c r="S26" s="403"/>
      <c r="T26" s="403"/>
      <c r="U26" s="403"/>
      <c r="V26" s="403"/>
      <c r="W26" s="403"/>
      <c r="X26" s="403"/>
      <c r="Y26" s="403"/>
      <c r="Z26" s="403"/>
      <c r="AA26" s="403"/>
      <c r="AB26" s="403"/>
      <c r="AC26" s="403"/>
      <c r="AD26" s="403"/>
      <c r="AE26" s="403"/>
      <c r="AF26" s="403"/>
    </row>
    <row r="27" spans="1:32" ht="13.9" hidden="1" customHeight="1" thickBot="1">
      <c r="A27" s="403"/>
      <c r="B27" s="435"/>
      <c r="C27" s="436"/>
      <c r="D27" s="437"/>
      <c r="E27" s="452"/>
      <c r="F27" s="428"/>
      <c r="G27" s="403"/>
      <c r="H27" s="403"/>
      <c r="I27" s="403"/>
      <c r="J27" s="403"/>
      <c r="K27" s="447"/>
      <c r="L27" s="421" t="b">
        <f>IF(ISBLANK(E22),TRUE,IF(E22="ne",FALSE,IF(OR(ISBLANK(E24),AND(E24="ano",ISBLANK(E25)),AND(E24="ne",ISBLANK(E26))),TRUE,FALSE)))</f>
        <v>1</v>
      </c>
      <c r="M27" s="447"/>
      <c r="N27" s="403"/>
      <c r="O27" s="403"/>
      <c r="P27" s="403"/>
      <c r="Q27" s="403"/>
      <c r="R27" s="403"/>
      <c r="S27" s="403"/>
      <c r="T27" s="403"/>
      <c r="U27" s="403"/>
      <c r="V27" s="403"/>
      <c r="W27" s="403"/>
      <c r="X27" s="403"/>
      <c r="Y27" s="403"/>
      <c r="Z27" s="403"/>
      <c r="AA27" s="403"/>
      <c r="AB27" s="403"/>
      <c r="AC27" s="403"/>
      <c r="AD27" s="403"/>
      <c r="AE27" s="403"/>
      <c r="AF27" s="403"/>
    </row>
    <row r="28" spans="1:32" ht="35.450000000000003" hidden="1" customHeight="1" thickBot="1">
      <c r="A28" s="403"/>
      <c r="B28" s="423" t="s">
        <v>612</v>
      </c>
      <c r="C28" s="338" t="s">
        <v>712</v>
      </c>
      <c r="D28" s="424" t="s">
        <v>37</v>
      </c>
      <c r="E28" s="196"/>
      <c r="F28" s="425"/>
      <c r="G28" s="403"/>
      <c r="H28" s="403"/>
      <c r="I28" s="403"/>
      <c r="J28" s="403"/>
      <c r="K28" s="447"/>
      <c r="L28" s="3" t="b">
        <f>ISBLANK(E28)</f>
        <v>1</v>
      </c>
      <c r="M28" s="447"/>
      <c r="N28" s="403"/>
      <c r="O28" s="403"/>
      <c r="P28" s="403"/>
      <c r="Q28" s="403"/>
      <c r="R28" s="403"/>
      <c r="S28" s="403"/>
      <c r="T28" s="403"/>
      <c r="U28" s="403"/>
      <c r="V28" s="403"/>
      <c r="W28" s="403"/>
      <c r="X28" s="403"/>
      <c r="Y28" s="403"/>
      <c r="Z28" s="403"/>
      <c r="AA28" s="403"/>
      <c r="AB28" s="403"/>
      <c r="AC28" s="403"/>
      <c r="AD28" s="403"/>
      <c r="AE28" s="403"/>
      <c r="AF28" s="403"/>
    </row>
    <row r="29" spans="1:32" ht="35.450000000000003" hidden="1" customHeight="1" thickBot="1">
      <c r="A29" s="403"/>
      <c r="B29" s="426" t="s">
        <v>613</v>
      </c>
      <c r="C29" s="338" t="s">
        <v>124</v>
      </c>
      <c r="D29" s="424"/>
      <c r="E29" s="195"/>
      <c r="F29" s="428" t="str">
        <f>IF(AND(E28="ano",E29=0),"Uveďte počet zdrojů","")</f>
        <v/>
      </c>
      <c r="H29" s="403"/>
      <c r="I29" s="403"/>
      <c r="J29" s="403"/>
      <c r="K29" s="447"/>
      <c r="L29" s="3" t="b">
        <f>ISBLANK(E29)</f>
        <v>1</v>
      </c>
      <c r="M29" s="447"/>
      <c r="N29" s="403"/>
      <c r="O29" s="403"/>
      <c r="P29" s="403"/>
      <c r="Q29" s="403"/>
      <c r="R29" s="403"/>
      <c r="S29" s="403"/>
      <c r="T29" s="403"/>
      <c r="U29" s="403"/>
      <c r="V29" s="403"/>
      <c r="W29" s="403"/>
      <c r="X29" s="403"/>
      <c r="Y29" s="403"/>
      <c r="Z29" s="403"/>
      <c r="AA29" s="403"/>
      <c r="AB29" s="403"/>
      <c r="AC29" s="403"/>
      <c r="AD29" s="403"/>
      <c r="AE29" s="403"/>
      <c r="AF29" s="403"/>
    </row>
    <row r="30" spans="1:32" ht="35.450000000000003" hidden="1" customHeight="1" thickBot="1">
      <c r="A30" s="403"/>
      <c r="B30" s="426" t="s">
        <v>614</v>
      </c>
      <c r="C30" s="427" t="s">
        <v>145</v>
      </c>
      <c r="D30" s="424" t="s">
        <v>37</v>
      </c>
      <c r="E30" s="196"/>
      <c r="F30" s="425"/>
      <c r="G30" s="403"/>
      <c r="H30" s="403"/>
      <c r="I30" s="403"/>
      <c r="J30" s="403"/>
      <c r="K30" s="447"/>
      <c r="L30" s="3" t="b">
        <f>ISBLANK(E30)</f>
        <v>1</v>
      </c>
      <c r="M30" s="447"/>
      <c r="N30" s="403"/>
      <c r="O30" s="403"/>
      <c r="P30" s="403"/>
      <c r="Q30" s="403"/>
      <c r="R30" s="403"/>
      <c r="S30" s="403"/>
      <c r="T30" s="403"/>
      <c r="U30" s="403"/>
      <c r="V30" s="403"/>
      <c r="W30" s="403"/>
      <c r="X30" s="403"/>
      <c r="Y30" s="403"/>
      <c r="Z30" s="403"/>
      <c r="AA30" s="403"/>
      <c r="AB30" s="403"/>
      <c r="AC30" s="403"/>
      <c r="AD30" s="403"/>
      <c r="AE30" s="403"/>
      <c r="AF30" s="403"/>
    </row>
    <row r="31" spans="1:32" ht="35.450000000000003" hidden="1" customHeight="1" thickBot="1">
      <c r="A31" s="403"/>
      <c r="B31" s="426" t="s">
        <v>615</v>
      </c>
      <c r="C31" s="429" t="s">
        <v>128</v>
      </c>
      <c r="D31" s="424" t="s">
        <v>125</v>
      </c>
      <c r="E31" s="195"/>
      <c r="F31" s="428" t="e">
        <f>IF(AND(E30="ano",E31=0),"Zadejte celkový příkon",IF(E31/E29&lt;5,"Uvedený celkový příkon je příliš malý, minimální příkon 1 zářivky je 5W",""))</f>
        <v>#DIV/0!</v>
      </c>
      <c r="G31" s="403"/>
      <c r="H31" s="403"/>
      <c r="J31" s="403"/>
      <c r="K31" s="447"/>
      <c r="L31" s="3"/>
      <c r="M31" s="447"/>
      <c r="N31" s="403"/>
      <c r="O31" s="403"/>
      <c r="P31" s="403"/>
      <c r="Q31" s="403"/>
      <c r="R31" s="403"/>
      <c r="S31" s="403"/>
      <c r="T31" s="403"/>
      <c r="U31" s="403"/>
      <c r="V31" s="403"/>
      <c r="W31" s="403"/>
      <c r="X31" s="403"/>
      <c r="Y31" s="403"/>
      <c r="Z31" s="403"/>
      <c r="AA31" s="403"/>
      <c r="AB31" s="403"/>
      <c r="AC31" s="403"/>
      <c r="AD31" s="403"/>
      <c r="AE31" s="403"/>
      <c r="AF31" s="403"/>
    </row>
    <row r="32" spans="1:32" ht="35.450000000000003" hidden="1" customHeight="1" thickBot="1">
      <c r="A32" s="403"/>
      <c r="B32" s="426" t="s">
        <v>616</v>
      </c>
      <c r="C32" s="427" t="s">
        <v>146</v>
      </c>
      <c r="D32" s="424" t="s">
        <v>125</v>
      </c>
      <c r="E32" s="196"/>
      <c r="F32" s="428" t="str">
        <f>IF(AND(E30="ne",E32=0),"Zadejte průměrný příkon","")</f>
        <v/>
      </c>
      <c r="H32" s="403"/>
      <c r="I32" s="403"/>
      <c r="J32" s="403"/>
      <c r="K32" s="447"/>
      <c r="L32" s="3"/>
      <c r="M32" s="447"/>
      <c r="N32" s="403"/>
      <c r="O32" s="403"/>
      <c r="P32" s="403"/>
      <c r="Q32" s="403"/>
      <c r="R32" s="403"/>
      <c r="S32" s="403"/>
      <c r="T32" s="403"/>
      <c r="U32" s="403"/>
      <c r="V32" s="403"/>
      <c r="W32" s="403"/>
      <c r="X32" s="403"/>
      <c r="Y32" s="403"/>
      <c r="Z32" s="403"/>
      <c r="AA32" s="403"/>
      <c r="AB32" s="403"/>
      <c r="AC32" s="403"/>
      <c r="AD32" s="403"/>
      <c r="AE32" s="403"/>
      <c r="AF32" s="403"/>
    </row>
    <row r="33" spans="1:32" ht="19.899999999999999" hidden="1" customHeight="1" thickBot="1">
      <c r="A33" s="403"/>
      <c r="B33" s="403"/>
      <c r="C33" s="403"/>
      <c r="D33" s="5"/>
      <c r="E33" s="453"/>
      <c r="F33" s="422"/>
      <c r="G33" s="403"/>
      <c r="H33" s="403"/>
      <c r="I33" s="403"/>
      <c r="J33" s="403"/>
      <c r="K33" s="447"/>
      <c r="L33" s="421" t="b">
        <f>IF(ISBLANK(E28),TRUE,IF(E28="ne",FALSE,IF(OR(ISBLANK(E30),AND(E30="ano",ISBLANK(E31)),AND(E30="ne",ISBLANK(E32))),TRUE,FALSE)))</f>
        <v>1</v>
      </c>
      <c r="M33" s="447"/>
      <c r="N33" s="403"/>
      <c r="O33" s="403"/>
      <c r="P33" s="403"/>
      <c r="Q33" s="403"/>
      <c r="R33" s="403"/>
      <c r="S33" s="403"/>
      <c r="T33" s="403"/>
      <c r="U33" s="403"/>
      <c r="V33" s="403"/>
      <c r="W33" s="403"/>
      <c r="X33" s="403"/>
      <c r="Y33" s="403"/>
      <c r="Z33" s="403"/>
      <c r="AA33" s="403"/>
      <c r="AB33" s="403"/>
      <c r="AC33" s="403"/>
      <c r="AD33" s="403"/>
      <c r="AE33" s="403"/>
      <c r="AF33" s="403"/>
    </row>
    <row r="34" spans="1:32" ht="35.450000000000003" hidden="1" customHeight="1" thickBot="1">
      <c r="A34" s="403"/>
      <c r="B34" s="374" t="s">
        <v>31</v>
      </c>
      <c r="C34" s="349" t="s">
        <v>697</v>
      </c>
      <c r="D34" s="9"/>
      <c r="E34" s="454"/>
      <c r="F34" s="422"/>
      <c r="G34" s="403"/>
      <c r="H34" s="403"/>
      <c r="I34" s="403"/>
      <c r="J34" s="403"/>
      <c r="K34" s="447"/>
      <c r="L34" s="421"/>
      <c r="M34" s="447"/>
      <c r="N34" s="403"/>
      <c r="O34" s="403"/>
      <c r="P34" s="403"/>
      <c r="Q34" s="403"/>
      <c r="R34" s="403"/>
      <c r="S34" s="403"/>
      <c r="T34" s="403"/>
      <c r="U34" s="403"/>
      <c r="V34" s="403"/>
      <c r="W34" s="403"/>
      <c r="X34" s="403"/>
      <c r="Y34" s="403"/>
      <c r="Z34" s="403"/>
      <c r="AA34" s="403"/>
      <c r="AB34" s="403"/>
      <c r="AC34" s="403"/>
      <c r="AD34" s="403"/>
      <c r="AE34" s="403"/>
      <c r="AF34" s="403"/>
    </row>
    <row r="35" spans="1:32" ht="35.450000000000003" hidden="1" customHeight="1" thickBot="1">
      <c r="A35" s="403"/>
      <c r="B35" s="439" t="s">
        <v>617</v>
      </c>
      <c r="C35" s="338" t="s">
        <v>698</v>
      </c>
      <c r="D35" s="424" t="s">
        <v>37</v>
      </c>
      <c r="E35" s="15"/>
      <c r="F35" s="434"/>
      <c r="G35" s="403"/>
      <c r="H35" s="403"/>
      <c r="I35" s="403"/>
      <c r="J35" s="403"/>
      <c r="K35" s="447"/>
      <c r="L35" s="3" t="b">
        <f>ISBLANK(E35)</f>
        <v>1</v>
      </c>
      <c r="M35" s="447"/>
      <c r="N35" s="403"/>
      <c r="O35" s="403"/>
      <c r="P35" s="403"/>
      <c r="Q35" s="403"/>
      <c r="R35" s="403"/>
      <c r="S35" s="403"/>
      <c r="T35" s="403"/>
      <c r="U35" s="403"/>
      <c r="V35" s="403"/>
      <c r="W35" s="403"/>
      <c r="X35" s="403"/>
      <c r="Y35" s="403"/>
      <c r="Z35" s="403"/>
      <c r="AA35" s="403"/>
      <c r="AB35" s="403"/>
      <c r="AC35" s="403"/>
      <c r="AD35" s="403"/>
      <c r="AE35" s="403"/>
      <c r="AF35" s="403"/>
    </row>
    <row r="36" spans="1:32" ht="35.450000000000003" hidden="1" customHeight="1" thickBot="1">
      <c r="A36" s="403"/>
      <c r="B36" s="439" t="s">
        <v>618</v>
      </c>
      <c r="C36" s="427" t="s">
        <v>713</v>
      </c>
      <c r="D36" s="424" t="s">
        <v>3</v>
      </c>
      <c r="E36" s="16"/>
      <c r="F36" s="422" t="str">
        <f>IF(ISBLANK(E36),"",IF(parametry!C105&lt;500,"Příliš nízká celková spotřeba",IF(parametry!C105&gt;7500,"Příliš vysoká celková spotřeba","")))</f>
        <v/>
      </c>
      <c r="H36" s="403"/>
      <c r="I36" s="403"/>
      <c r="J36" s="403"/>
      <c r="K36" s="447"/>
      <c r="L36" s="3"/>
      <c r="M36" s="447"/>
      <c r="N36" s="403"/>
      <c r="O36" s="403"/>
      <c r="P36" s="403"/>
      <c r="Q36" s="403"/>
      <c r="R36" s="403"/>
      <c r="S36" s="403"/>
      <c r="T36" s="403"/>
      <c r="U36" s="403"/>
      <c r="V36" s="403"/>
      <c r="W36" s="403"/>
      <c r="X36" s="403"/>
      <c r="Y36" s="403"/>
      <c r="Z36" s="403"/>
      <c r="AA36" s="403"/>
      <c r="AB36" s="403"/>
      <c r="AC36" s="403"/>
      <c r="AD36" s="403"/>
      <c r="AE36" s="403"/>
      <c r="AF36" s="403"/>
    </row>
    <row r="37" spans="1:32" ht="35.450000000000003" hidden="1" customHeight="1" thickBot="1">
      <c r="A37" s="403"/>
      <c r="B37" s="439" t="s">
        <v>36</v>
      </c>
      <c r="C37" s="338" t="s">
        <v>129</v>
      </c>
      <c r="D37" s="424" t="s">
        <v>130</v>
      </c>
      <c r="E37" s="17"/>
      <c r="F37" s="434"/>
      <c r="G37" s="403"/>
      <c r="H37" s="403"/>
      <c r="I37" s="403"/>
      <c r="J37" s="403"/>
      <c r="K37" s="447"/>
      <c r="L37" s="3"/>
      <c r="M37" s="447"/>
      <c r="N37" s="403"/>
      <c r="O37" s="403"/>
      <c r="P37" s="403"/>
      <c r="Q37" s="403"/>
      <c r="R37" s="403"/>
      <c r="S37" s="403"/>
      <c r="T37" s="403"/>
      <c r="U37" s="403"/>
      <c r="V37" s="403"/>
      <c r="W37" s="403"/>
      <c r="X37" s="403"/>
      <c r="Y37" s="403"/>
      <c r="Z37" s="403"/>
      <c r="AA37" s="403"/>
      <c r="AB37" s="403"/>
      <c r="AC37" s="403"/>
      <c r="AD37" s="403"/>
      <c r="AE37" s="403"/>
      <c r="AF37" s="403"/>
    </row>
    <row r="38" spans="1:32" s="441" customFormat="1" ht="35.450000000000003" hidden="1" customHeight="1" thickBot="1">
      <c r="A38" s="421"/>
      <c r="B38" s="439" t="s">
        <v>36</v>
      </c>
      <c r="C38" s="338" t="s">
        <v>915</v>
      </c>
      <c r="D38" s="424" t="s">
        <v>916</v>
      </c>
      <c r="E38" s="17"/>
      <c r="F38" s="421"/>
      <c r="G38" s="421"/>
      <c r="H38" s="421"/>
      <c r="I38" s="421"/>
      <c r="J38" s="421"/>
      <c r="K38" s="447"/>
      <c r="L38" s="3"/>
      <c r="M38" s="447"/>
      <c r="N38" s="440"/>
      <c r="O38" s="440"/>
      <c r="P38" s="440"/>
      <c r="Q38" s="440"/>
      <c r="R38" s="440"/>
      <c r="S38" s="440"/>
      <c r="T38" s="440"/>
      <c r="U38" s="440"/>
      <c r="V38" s="440"/>
      <c r="W38" s="440"/>
      <c r="X38" s="440"/>
      <c r="Y38" s="440"/>
      <c r="Z38" s="440"/>
      <c r="AA38" s="440"/>
      <c r="AB38" s="440"/>
      <c r="AC38" s="440"/>
      <c r="AD38" s="440"/>
      <c r="AE38" s="440"/>
      <c r="AF38" s="440"/>
    </row>
    <row r="39" spans="1:32" s="441" customFormat="1" ht="35.450000000000003" customHeight="1" thickBot="1">
      <c r="A39" s="421"/>
      <c r="B39" s="282" t="s">
        <v>40</v>
      </c>
      <c r="C39" s="269" t="s">
        <v>786</v>
      </c>
      <c r="D39" s="283"/>
      <c r="E39" s="321"/>
      <c r="F39" s="421"/>
      <c r="G39" s="421"/>
      <c r="H39" s="421"/>
      <c r="I39" s="421"/>
      <c r="J39" s="421"/>
      <c r="K39" s="447"/>
      <c r="L39" s="3"/>
      <c r="M39" s="447"/>
      <c r="N39" s="440"/>
      <c r="O39" s="440"/>
      <c r="P39" s="440"/>
      <c r="Q39" s="440"/>
      <c r="R39" s="440"/>
      <c r="S39" s="440"/>
      <c r="T39" s="440"/>
      <c r="U39" s="440"/>
      <c r="V39" s="440"/>
      <c r="W39" s="440"/>
      <c r="X39" s="440"/>
      <c r="Y39" s="440"/>
      <c r="Z39" s="440"/>
      <c r="AA39" s="440"/>
      <c r="AB39" s="440"/>
      <c r="AC39" s="440"/>
      <c r="AD39" s="440"/>
      <c r="AE39" s="440"/>
      <c r="AF39" s="440"/>
    </row>
    <row r="40" spans="1:32" s="441" customFormat="1" ht="35.450000000000003" customHeight="1" thickBot="1">
      <c r="A40" s="421"/>
      <c r="B40" s="279" t="s">
        <v>41</v>
      </c>
      <c r="C40" s="279" t="s">
        <v>794</v>
      </c>
      <c r="D40" s="279" t="s">
        <v>445</v>
      </c>
      <c r="E40" s="15"/>
      <c r="F40" s="421"/>
      <c r="G40" s="421"/>
      <c r="H40" s="421"/>
      <c r="I40" s="421"/>
      <c r="J40" s="421"/>
      <c r="K40" s="447"/>
      <c r="L40" s="3" t="b">
        <f>NOT(AND(Zateplení!F4="Zadání projektu na základě Průkazu energetické náročnosti",OR(NOT(ISBLANK(E37)),NOT(ISBLANK(E36)))))</f>
        <v>1</v>
      </c>
      <c r="M40" s="447"/>
      <c r="N40" s="440"/>
      <c r="O40" s="440"/>
      <c r="P40" s="440"/>
      <c r="Q40" s="440"/>
      <c r="R40" s="440"/>
      <c r="S40" s="440"/>
      <c r="T40" s="440"/>
      <c r="U40" s="440"/>
      <c r="V40" s="440"/>
      <c r="W40" s="440"/>
      <c r="X40" s="440"/>
      <c r="Y40" s="440"/>
      <c r="Z40" s="440"/>
      <c r="AA40" s="440"/>
      <c r="AB40" s="440"/>
      <c r="AC40" s="440"/>
      <c r="AD40" s="440"/>
      <c r="AE40" s="440"/>
      <c r="AF40" s="440"/>
    </row>
    <row r="41" spans="1:32" s="441" customFormat="1" ht="43.15" customHeight="1">
      <c r="A41" s="442"/>
      <c r="B41" s="442"/>
      <c r="C41" s="442"/>
      <c r="D41" s="442"/>
      <c r="E41" s="443" t="str">
        <f>IF(L41=FALSE,"Konec formuláře","")</f>
        <v/>
      </c>
      <c r="F41" s="442"/>
      <c r="G41" s="442"/>
      <c r="H41" s="442"/>
      <c r="I41" s="442"/>
      <c r="J41" s="442"/>
      <c r="K41" s="541"/>
      <c r="L41" s="3" t="b">
        <f>IF(OR(ISBLANK(E35),AND(L40=FALSE,ISBLANK(E40)),AND(E35="ne",ISBLANK(E38)),AND(E35="ano",ISBLANK(E36))),TRUE,FALSE)</f>
        <v>1</v>
      </c>
      <c r="M41" s="447"/>
      <c r="N41" s="440"/>
      <c r="O41" s="440"/>
      <c r="P41" s="440"/>
      <c r="Q41" s="440"/>
      <c r="R41" s="440"/>
      <c r="S41" s="440"/>
      <c r="T41" s="440"/>
      <c r="U41" s="440"/>
      <c r="V41" s="440"/>
      <c r="W41" s="440"/>
      <c r="X41" s="440"/>
      <c r="Y41" s="440"/>
      <c r="Z41" s="440"/>
      <c r="AA41" s="440"/>
      <c r="AB41" s="440"/>
      <c r="AC41" s="440"/>
      <c r="AD41" s="440"/>
      <c r="AE41" s="440"/>
      <c r="AF41" s="440"/>
    </row>
    <row r="42" spans="1:32" s="446" customFormat="1" ht="18" customHeight="1" thickBot="1">
      <c r="A42" s="444"/>
      <c r="B42" s="246" t="s">
        <v>107</v>
      </c>
      <c r="C42" s="247" t="s">
        <v>714</v>
      </c>
      <c r="D42" s="248"/>
      <c r="E42" s="249"/>
      <c r="F42" s="250"/>
      <c r="G42" s="444"/>
      <c r="H42" s="444"/>
      <c r="I42" s="444"/>
      <c r="J42" s="444"/>
      <c r="K42" s="445"/>
      <c r="L42" s="250"/>
      <c r="M42" s="445"/>
      <c r="N42" s="445"/>
      <c r="O42" s="445"/>
      <c r="P42" s="445"/>
      <c r="Q42" s="445"/>
      <c r="R42" s="445"/>
      <c r="S42" s="445"/>
      <c r="T42" s="445"/>
      <c r="U42" s="445"/>
      <c r="V42" s="445"/>
      <c r="W42" s="445"/>
      <c r="X42" s="445"/>
      <c r="Y42" s="445"/>
      <c r="Z42" s="445"/>
      <c r="AA42" s="445"/>
      <c r="AB42" s="445"/>
      <c r="AC42" s="445"/>
      <c r="AD42" s="445"/>
      <c r="AE42" s="445"/>
      <c r="AF42" s="445"/>
    </row>
    <row r="43" spans="1:32" s="441" customFormat="1" ht="12.75" customHeight="1" thickBot="1">
      <c r="A43" s="421"/>
      <c r="B43" s="194"/>
      <c r="C43" s="153" t="s">
        <v>715</v>
      </c>
      <c r="D43" s="154">
        <f>IF(parametry!B111=TRUE,IF(E35="ne",hodiny*parametry!G100*E38/1000,E36),0)</f>
        <v>0</v>
      </c>
      <c r="E43" s="153" t="s">
        <v>3</v>
      </c>
      <c r="F43" s="3" t="str">
        <f>IF(D43=0,"Zadejte 2.1 Spotřebu elektřiny","")</f>
        <v>Zadejte 2.1 Spotřebu elektřiny</v>
      </c>
      <c r="G43" s="421"/>
      <c r="H43" s="421"/>
      <c r="I43" s="421"/>
      <c r="J43" s="421"/>
      <c r="K43" s="440"/>
      <c r="L43" s="3"/>
      <c r="M43" s="440"/>
      <c r="N43" s="440"/>
      <c r="O43" s="440"/>
      <c r="P43" s="440"/>
      <c r="Q43" s="440"/>
      <c r="R43" s="440"/>
      <c r="S43" s="440"/>
      <c r="T43" s="440"/>
      <c r="U43" s="440"/>
      <c r="V43" s="440"/>
      <c r="W43" s="440"/>
      <c r="X43" s="440"/>
      <c r="Y43" s="440"/>
      <c r="Z43" s="440"/>
      <c r="AA43" s="440"/>
      <c r="AB43" s="440"/>
      <c r="AC43" s="440"/>
      <c r="AD43" s="440"/>
      <c r="AE43" s="440"/>
      <c r="AF43" s="440"/>
    </row>
    <row r="44" spans="1:32" s="441" customFormat="1" ht="15.75" customHeight="1" thickBot="1">
      <c r="A44" s="421"/>
      <c r="B44" s="194"/>
      <c r="C44" s="153" t="s">
        <v>716</v>
      </c>
      <c r="D44" s="154">
        <f>IF(parametry!B111=TRUE,parametry!H100*parametry!C105/1000,0)</f>
        <v>0</v>
      </c>
      <c r="E44" s="153" t="s">
        <v>3</v>
      </c>
      <c r="F44" s="3" t="str">
        <f>IF(D44=0,IF(D43=0,"","Definujte stávající zdroje. Viz otázky 1.1 až 1.5"),"")</f>
        <v/>
      </c>
      <c r="G44" s="421"/>
      <c r="H44" s="421"/>
      <c r="I44" s="421"/>
      <c r="J44" s="421"/>
      <c r="K44" s="440"/>
      <c r="L44" s="3"/>
      <c r="M44" s="440"/>
      <c r="N44" s="440"/>
      <c r="O44" s="440"/>
      <c r="P44" s="440"/>
      <c r="Q44" s="440"/>
      <c r="R44" s="440"/>
      <c r="S44" s="440"/>
      <c r="T44" s="440"/>
      <c r="U44" s="440"/>
      <c r="V44" s="440"/>
      <c r="W44" s="440"/>
      <c r="X44" s="440"/>
      <c r="Y44" s="440"/>
      <c r="Z44" s="440"/>
      <c r="AA44" s="440"/>
      <c r="AB44" s="440"/>
      <c r="AC44" s="440"/>
      <c r="AD44" s="440"/>
      <c r="AE44" s="440"/>
      <c r="AF44" s="440"/>
    </row>
    <row r="45" spans="1:32" s="441" customFormat="1" ht="15.75" customHeight="1" thickBot="1">
      <c r="A45" s="421"/>
      <c r="B45" s="194"/>
      <c r="C45" s="52" t="s">
        <v>673</v>
      </c>
      <c r="D45" s="155">
        <f>D43-D44</f>
        <v>0</v>
      </c>
      <c r="E45" s="153" t="s">
        <v>3</v>
      </c>
      <c r="F45" s="3"/>
      <c r="G45" s="421"/>
      <c r="H45" s="421"/>
      <c r="I45" s="421"/>
      <c r="J45" s="421"/>
      <c r="K45" s="440"/>
      <c r="L45" s="3"/>
      <c r="M45" s="440"/>
      <c r="N45" s="440"/>
      <c r="O45" s="440"/>
      <c r="P45" s="440"/>
      <c r="Q45" s="440"/>
      <c r="R45" s="440"/>
      <c r="S45" s="440"/>
      <c r="T45" s="440"/>
      <c r="U45" s="440"/>
      <c r="V45" s="440"/>
      <c r="W45" s="440"/>
      <c r="X45" s="440"/>
      <c r="Y45" s="440"/>
      <c r="Z45" s="440"/>
      <c r="AA45" s="440"/>
      <c r="AB45" s="440"/>
      <c r="AC45" s="440"/>
      <c r="AD45" s="440"/>
      <c r="AE45" s="440"/>
      <c r="AF45" s="440"/>
    </row>
    <row r="46" spans="1:32" s="441" customFormat="1" ht="15.75" customHeight="1" thickBot="1">
      <c r="A46" s="421"/>
      <c r="B46" s="51"/>
      <c r="C46" s="52" t="s">
        <v>673</v>
      </c>
      <c r="D46" s="156">
        <f>IFERROR(D45/D43,0)</f>
        <v>0</v>
      </c>
      <c r="E46" s="153" t="s">
        <v>156</v>
      </c>
      <c r="F46" s="3"/>
      <c r="G46" s="421"/>
      <c r="H46" s="421"/>
      <c r="I46" s="421"/>
      <c r="J46" s="421"/>
      <c r="K46" s="440"/>
      <c r="L46" s="3"/>
      <c r="M46" s="440"/>
      <c r="N46" s="440"/>
      <c r="O46" s="440"/>
      <c r="P46" s="440"/>
      <c r="Q46" s="440"/>
      <c r="R46" s="440"/>
      <c r="S46" s="440"/>
      <c r="T46" s="440"/>
      <c r="U46" s="440"/>
      <c r="V46" s="440"/>
      <c r="W46" s="440"/>
      <c r="X46" s="440"/>
      <c r="Y46" s="440"/>
      <c r="Z46" s="440"/>
      <c r="AA46" s="440"/>
      <c r="AB46" s="440"/>
      <c r="AC46" s="440"/>
      <c r="AD46" s="440"/>
      <c r="AE46" s="440"/>
      <c r="AF46" s="440"/>
    </row>
    <row r="47" spans="1:32" s="441" customFormat="1" ht="12.75" customHeight="1" thickBot="1">
      <c r="A47" s="421"/>
      <c r="B47" s="51"/>
      <c r="C47" s="56" t="s">
        <v>674</v>
      </c>
      <c r="D47" s="155"/>
      <c r="E47" s="153"/>
      <c r="F47" s="3"/>
      <c r="G47" s="421"/>
      <c r="H47" s="421"/>
      <c r="I47" s="421"/>
      <c r="J47" s="421"/>
      <c r="K47" s="440"/>
      <c r="L47" s="3"/>
      <c r="M47" s="440"/>
      <c r="N47" s="440"/>
      <c r="O47" s="440"/>
      <c r="P47" s="440"/>
      <c r="Q47" s="440"/>
      <c r="R47" s="440"/>
      <c r="S47" s="440"/>
      <c r="T47" s="440"/>
      <c r="U47" s="440"/>
      <c r="V47" s="440"/>
      <c r="W47" s="440"/>
      <c r="X47" s="440"/>
      <c r="Y47" s="440"/>
      <c r="Z47" s="440"/>
      <c r="AA47" s="440"/>
      <c r="AB47" s="440"/>
      <c r="AC47" s="440"/>
      <c r="AD47" s="440"/>
      <c r="AE47" s="440"/>
      <c r="AF47" s="440"/>
    </row>
    <row r="48" spans="1:32" s="441" customFormat="1" ht="12.75" customHeight="1" thickBot="1">
      <c r="A48" s="421"/>
      <c r="B48" s="51"/>
      <c r="C48" s="58" t="s">
        <v>226</v>
      </c>
      <c r="D48" s="155">
        <v>0</v>
      </c>
      <c r="E48" s="153" t="s">
        <v>3</v>
      </c>
      <c r="F48" s="3"/>
      <c r="G48" s="421"/>
      <c r="H48" s="421"/>
      <c r="I48" s="421"/>
      <c r="J48" s="421"/>
      <c r="K48" s="440"/>
      <c r="L48" s="3"/>
      <c r="M48" s="440"/>
      <c r="N48" s="440"/>
      <c r="O48" s="440"/>
      <c r="P48" s="440"/>
      <c r="Q48" s="440"/>
      <c r="R48" s="440"/>
      <c r="S48" s="440"/>
      <c r="T48" s="440"/>
      <c r="U48" s="440"/>
      <c r="V48" s="440"/>
      <c r="W48" s="440"/>
      <c r="X48" s="440"/>
      <c r="Y48" s="440"/>
      <c r="Z48" s="440"/>
      <c r="AA48" s="440"/>
      <c r="AB48" s="440"/>
      <c r="AC48" s="440"/>
      <c r="AD48" s="440"/>
      <c r="AE48" s="440"/>
      <c r="AF48" s="440"/>
    </row>
    <row r="49" spans="1:32" s="441" customFormat="1" ht="12.75" customHeight="1" thickBot="1">
      <c r="A49" s="421"/>
      <c r="B49" s="51"/>
      <c r="C49" s="58" t="s">
        <v>168</v>
      </c>
      <c r="D49" s="155">
        <f>D45</f>
        <v>0</v>
      </c>
      <c r="E49" s="153" t="s">
        <v>3</v>
      </c>
      <c r="F49" s="3"/>
      <c r="G49" s="421"/>
      <c r="H49" s="421"/>
      <c r="I49" s="421"/>
      <c r="J49" s="421"/>
      <c r="K49" s="440"/>
      <c r="L49" s="3"/>
      <c r="M49" s="440"/>
      <c r="N49" s="440"/>
      <c r="O49" s="440"/>
      <c r="P49" s="440"/>
      <c r="Q49" s="440"/>
      <c r="R49" s="440"/>
      <c r="S49" s="440"/>
      <c r="T49" s="440"/>
      <c r="U49" s="440"/>
      <c r="V49" s="440"/>
      <c r="W49" s="440"/>
      <c r="X49" s="440"/>
      <c r="Y49" s="440"/>
      <c r="Z49" s="440"/>
      <c r="AA49" s="440"/>
      <c r="AB49" s="440"/>
      <c r="AC49" s="440"/>
      <c r="AD49" s="440"/>
      <c r="AE49" s="440"/>
      <c r="AF49" s="440"/>
    </row>
    <row r="50" spans="1:32" s="441" customFormat="1" ht="14.25" customHeight="1">
      <c r="A50" s="421"/>
      <c r="B50" s="51"/>
      <c r="C50" s="133" t="s">
        <v>675</v>
      </c>
      <c r="D50" s="134">
        <f>D49*parametry!C59*parametry!E59</f>
        <v>0</v>
      </c>
      <c r="E50" s="135" t="s">
        <v>2</v>
      </c>
      <c r="F50" s="3"/>
      <c r="G50" s="421"/>
      <c r="H50" s="421"/>
      <c r="I50" s="421"/>
      <c r="J50" s="421"/>
      <c r="K50" s="440"/>
      <c r="L50" s="3"/>
      <c r="M50" s="440"/>
      <c r="N50" s="440"/>
      <c r="O50" s="440"/>
      <c r="P50" s="440"/>
      <c r="Q50" s="440"/>
      <c r="R50" s="440"/>
      <c r="S50" s="440"/>
      <c r="T50" s="440"/>
      <c r="U50" s="440"/>
      <c r="V50" s="440"/>
      <c r="W50" s="440"/>
      <c r="X50" s="440"/>
      <c r="Y50" s="440"/>
      <c r="Z50" s="440"/>
      <c r="AA50" s="440"/>
      <c r="AB50" s="440"/>
      <c r="AC50" s="440"/>
      <c r="AD50" s="440"/>
      <c r="AE50" s="440"/>
      <c r="AF50" s="440"/>
    </row>
    <row r="51" spans="1:32" s="441" customFormat="1" ht="21.75" customHeight="1">
      <c r="A51" s="421"/>
      <c r="B51" s="51"/>
      <c r="C51" s="133" t="s">
        <v>475</v>
      </c>
      <c r="D51" s="134">
        <f>D49*parametry!G59</f>
        <v>0</v>
      </c>
      <c r="E51" s="135" t="s">
        <v>477</v>
      </c>
      <c r="F51" s="3"/>
      <c r="G51" s="421"/>
      <c r="H51" s="421"/>
      <c r="I51" s="421"/>
      <c r="J51" s="421"/>
      <c r="K51" s="440"/>
      <c r="L51" s="3"/>
      <c r="M51" s="440"/>
      <c r="N51" s="440"/>
      <c r="O51" s="440"/>
      <c r="P51" s="440"/>
      <c r="Q51" s="440"/>
      <c r="R51" s="440"/>
      <c r="S51" s="440"/>
      <c r="T51" s="440"/>
      <c r="U51" s="440"/>
      <c r="V51" s="440"/>
      <c r="W51" s="440"/>
      <c r="X51" s="440"/>
      <c r="Y51" s="440"/>
      <c r="Z51" s="440"/>
      <c r="AA51" s="440"/>
      <c r="AB51" s="440"/>
      <c r="AC51" s="440"/>
      <c r="AD51" s="440"/>
      <c r="AE51" s="440"/>
      <c r="AF51" s="440"/>
    </row>
    <row r="52" spans="1:32" s="441" customFormat="1" ht="12.75" customHeight="1">
      <c r="A52" s="421"/>
      <c r="B52" s="129"/>
      <c r="C52" s="130"/>
      <c r="D52" s="131"/>
      <c r="E52" s="132"/>
      <c r="F52" s="3"/>
      <c r="G52" s="421"/>
      <c r="H52" s="421"/>
      <c r="I52" s="421"/>
      <c r="J52" s="421"/>
      <c r="K52" s="440"/>
      <c r="L52" s="3"/>
      <c r="M52" s="440"/>
      <c r="N52" s="440"/>
      <c r="O52" s="440"/>
      <c r="P52" s="440"/>
      <c r="Q52" s="440"/>
      <c r="R52" s="440"/>
      <c r="S52" s="440"/>
      <c r="T52" s="440"/>
      <c r="U52" s="440"/>
      <c r="V52" s="440"/>
      <c r="W52" s="440"/>
      <c r="X52" s="440"/>
      <c r="Y52" s="440"/>
      <c r="Z52" s="440"/>
      <c r="AA52" s="440"/>
      <c r="AB52" s="440"/>
      <c r="AC52" s="440"/>
      <c r="AD52" s="440"/>
      <c r="AE52" s="440"/>
      <c r="AF52" s="440"/>
    </row>
    <row r="53" spans="1:32" s="441" customFormat="1" ht="27.75" customHeight="1">
      <c r="A53" s="440"/>
      <c r="B53" s="447"/>
      <c r="C53" s="447"/>
      <c r="D53" s="447"/>
      <c r="E53" s="447"/>
      <c r="F53" s="440"/>
      <c r="G53" s="440"/>
      <c r="H53" s="440"/>
      <c r="I53" s="440"/>
      <c r="J53" s="440"/>
      <c r="K53" s="440"/>
      <c r="L53" s="3"/>
      <c r="M53" s="440"/>
      <c r="N53" s="440"/>
      <c r="O53" s="440"/>
      <c r="P53" s="440"/>
      <c r="Q53" s="440"/>
      <c r="R53" s="440"/>
      <c r="S53" s="440"/>
      <c r="T53" s="440"/>
      <c r="U53" s="440"/>
      <c r="V53" s="440"/>
      <c r="W53" s="440"/>
      <c r="X53" s="440"/>
      <c r="Y53" s="440"/>
      <c r="Z53" s="440"/>
      <c r="AA53" s="440"/>
      <c r="AB53" s="440"/>
      <c r="AC53" s="440"/>
      <c r="AD53" s="440"/>
      <c r="AE53" s="440"/>
      <c r="AF53" s="440"/>
    </row>
    <row r="54" spans="1:32" ht="15" customHeight="1">
      <c r="A54" s="403"/>
      <c r="B54" s="403"/>
      <c r="C54" s="7"/>
      <c r="D54" s="403"/>
      <c r="E54" s="403"/>
      <c r="F54" s="403"/>
      <c r="G54" s="403"/>
      <c r="H54" s="403"/>
      <c r="I54" s="403"/>
      <c r="J54" s="403"/>
      <c r="K54" s="403"/>
      <c r="L54" s="3"/>
      <c r="M54" s="403"/>
      <c r="N54" s="403"/>
      <c r="O54" s="403"/>
      <c r="P54" s="403"/>
      <c r="Q54" s="403"/>
      <c r="R54" s="403"/>
      <c r="S54" s="403"/>
      <c r="T54" s="403"/>
      <c r="U54" s="403"/>
      <c r="V54" s="403"/>
      <c r="W54" s="403"/>
      <c r="X54" s="403"/>
      <c r="Y54" s="403"/>
      <c r="Z54" s="403"/>
      <c r="AA54" s="403"/>
      <c r="AB54" s="403"/>
      <c r="AC54" s="403"/>
      <c r="AD54" s="403"/>
      <c r="AE54" s="403"/>
      <c r="AF54" s="403"/>
    </row>
    <row r="55" spans="1:32">
      <c r="A55" s="403"/>
      <c r="B55" s="403"/>
      <c r="C55" s="403"/>
      <c r="D55" s="403"/>
      <c r="E55" s="403"/>
      <c r="F55" s="403"/>
      <c r="G55" s="403"/>
      <c r="H55" s="403"/>
      <c r="I55" s="403"/>
      <c r="J55" s="403"/>
      <c r="K55" s="403"/>
      <c r="L55" s="3"/>
      <c r="M55" s="403"/>
      <c r="N55" s="403"/>
      <c r="O55" s="403"/>
      <c r="P55" s="403"/>
      <c r="Q55" s="403"/>
      <c r="R55" s="403"/>
      <c r="S55" s="403"/>
      <c r="T55" s="403"/>
      <c r="U55" s="403"/>
      <c r="V55" s="403"/>
      <c r="W55" s="403"/>
      <c r="X55" s="403"/>
      <c r="Y55" s="403"/>
      <c r="Z55" s="403"/>
      <c r="AA55" s="403"/>
      <c r="AB55" s="403"/>
      <c r="AC55" s="403"/>
      <c r="AD55" s="403"/>
      <c r="AE55" s="403"/>
      <c r="AF55" s="403"/>
    </row>
    <row r="56" spans="1:32" ht="6.75" customHeight="1">
      <c r="A56" s="403"/>
      <c r="B56" s="403"/>
      <c r="C56" s="403"/>
      <c r="D56" s="403"/>
      <c r="E56" s="403"/>
      <c r="F56" s="403"/>
      <c r="G56" s="403"/>
      <c r="H56" s="403"/>
      <c r="I56" s="403"/>
      <c r="J56" s="403"/>
      <c r="K56" s="403"/>
      <c r="L56" s="3"/>
      <c r="M56" s="403"/>
      <c r="N56" s="403"/>
      <c r="O56" s="403"/>
      <c r="P56" s="403"/>
      <c r="Q56" s="403"/>
      <c r="R56" s="403"/>
      <c r="S56" s="403"/>
      <c r="T56" s="403"/>
      <c r="U56" s="403"/>
      <c r="V56" s="403"/>
      <c r="W56" s="403"/>
      <c r="X56" s="403"/>
      <c r="Y56" s="403"/>
      <c r="Z56" s="403"/>
      <c r="AA56" s="403"/>
      <c r="AB56" s="403"/>
      <c r="AC56" s="403"/>
      <c r="AD56" s="403"/>
      <c r="AE56" s="403"/>
      <c r="AF56" s="403"/>
    </row>
    <row r="57" spans="1:32">
      <c r="A57" s="403"/>
      <c r="B57" s="403"/>
      <c r="C57" s="403"/>
      <c r="D57" s="403"/>
      <c r="E57" s="403"/>
      <c r="F57" s="403"/>
      <c r="G57" s="403"/>
      <c r="H57" s="403"/>
      <c r="I57" s="403"/>
      <c r="J57" s="403"/>
      <c r="K57" s="403"/>
      <c r="L57" s="3"/>
      <c r="M57" s="403"/>
      <c r="N57" s="403"/>
      <c r="O57" s="403"/>
      <c r="P57" s="403"/>
      <c r="Q57" s="403"/>
      <c r="R57" s="403"/>
      <c r="S57" s="403"/>
      <c r="T57" s="403"/>
      <c r="U57" s="403"/>
      <c r="V57" s="403"/>
      <c r="W57" s="403"/>
      <c r="X57" s="403"/>
      <c r="Y57" s="403"/>
      <c r="Z57" s="403"/>
      <c r="AA57" s="403"/>
      <c r="AB57" s="403"/>
      <c r="AC57" s="403"/>
      <c r="AD57" s="403"/>
      <c r="AE57" s="403"/>
      <c r="AF57" s="403"/>
    </row>
    <row r="58" spans="1:32">
      <c r="A58" s="403"/>
      <c r="B58" s="403"/>
      <c r="C58" s="403"/>
      <c r="D58" s="403"/>
      <c r="E58" s="403"/>
      <c r="F58" s="403"/>
      <c r="G58" s="403"/>
      <c r="H58" s="403"/>
      <c r="I58" s="403"/>
      <c r="J58" s="403"/>
      <c r="K58" s="403"/>
      <c r="L58" s="3"/>
      <c r="M58" s="403"/>
      <c r="N58" s="403"/>
      <c r="O58" s="403"/>
      <c r="P58" s="403"/>
      <c r="Q58" s="403"/>
      <c r="R58" s="403"/>
      <c r="S58" s="403"/>
      <c r="T58" s="403"/>
      <c r="U58" s="403"/>
      <c r="V58" s="403"/>
      <c r="W58" s="403"/>
      <c r="X58" s="403"/>
      <c r="Y58" s="403"/>
      <c r="Z58" s="403"/>
      <c r="AA58" s="403"/>
      <c r="AB58" s="403"/>
      <c r="AC58" s="403"/>
      <c r="AD58" s="403"/>
      <c r="AE58" s="403"/>
      <c r="AF58" s="403"/>
    </row>
    <row r="59" spans="1:32">
      <c r="A59" s="403"/>
      <c r="B59" s="403"/>
      <c r="C59" s="403"/>
      <c r="D59" s="403"/>
      <c r="E59" s="403"/>
      <c r="F59" s="403"/>
      <c r="G59" s="403"/>
      <c r="H59" s="403"/>
      <c r="I59" s="403"/>
      <c r="J59" s="403"/>
      <c r="K59" s="403"/>
      <c r="L59" s="3"/>
      <c r="M59" s="403"/>
      <c r="N59" s="403"/>
      <c r="O59" s="403"/>
      <c r="P59" s="403"/>
      <c r="Q59" s="403"/>
      <c r="R59" s="403"/>
      <c r="S59" s="403"/>
      <c r="T59" s="403"/>
      <c r="U59" s="403"/>
      <c r="V59" s="403"/>
      <c r="W59" s="403"/>
      <c r="X59" s="403"/>
      <c r="Y59" s="403"/>
      <c r="Z59" s="403"/>
      <c r="AA59" s="403"/>
      <c r="AB59" s="403"/>
      <c r="AC59" s="403"/>
      <c r="AD59" s="403"/>
      <c r="AE59" s="403"/>
      <c r="AF59" s="403"/>
    </row>
    <row r="60" spans="1:32">
      <c r="A60" s="403"/>
      <c r="B60" s="403"/>
      <c r="C60" s="403"/>
      <c r="D60" s="403"/>
      <c r="E60" s="403"/>
      <c r="F60" s="403"/>
      <c r="G60" s="403"/>
      <c r="H60" s="403"/>
      <c r="I60" s="403"/>
      <c r="J60" s="403"/>
      <c r="K60" s="403"/>
      <c r="L60" s="3"/>
      <c r="M60" s="403"/>
      <c r="N60" s="403"/>
      <c r="O60" s="403"/>
      <c r="P60" s="403"/>
      <c r="Q60" s="403"/>
      <c r="R60" s="403"/>
      <c r="S60" s="403"/>
      <c r="T60" s="403"/>
      <c r="U60" s="403"/>
      <c r="V60" s="403"/>
      <c r="W60" s="403"/>
      <c r="X60" s="403"/>
      <c r="Y60" s="403"/>
      <c r="Z60" s="403"/>
      <c r="AA60" s="403"/>
      <c r="AB60" s="403"/>
      <c r="AC60" s="403"/>
      <c r="AD60" s="403"/>
      <c r="AE60" s="403"/>
      <c r="AF60" s="403"/>
    </row>
    <row r="61" spans="1:32">
      <c r="A61" s="403"/>
      <c r="B61" s="403"/>
      <c r="C61" s="403"/>
      <c r="D61" s="403"/>
      <c r="E61" s="403"/>
      <c r="F61" s="403"/>
      <c r="G61" s="403"/>
      <c r="H61" s="403"/>
      <c r="I61" s="403"/>
      <c r="J61" s="403"/>
      <c r="K61" s="403"/>
      <c r="L61" s="3"/>
      <c r="M61" s="403"/>
      <c r="N61" s="403"/>
      <c r="O61" s="403"/>
      <c r="P61" s="403"/>
      <c r="Q61" s="403"/>
      <c r="R61" s="403"/>
      <c r="S61" s="403"/>
      <c r="T61" s="403"/>
      <c r="U61" s="403"/>
      <c r="V61" s="403"/>
      <c r="W61" s="403"/>
      <c r="X61" s="403"/>
      <c r="Y61" s="403"/>
      <c r="Z61" s="403"/>
      <c r="AA61" s="403"/>
      <c r="AB61" s="403"/>
      <c r="AC61" s="403"/>
      <c r="AD61" s="403"/>
      <c r="AE61" s="403"/>
      <c r="AF61" s="403"/>
    </row>
    <row r="62" spans="1:32">
      <c r="A62" s="403"/>
      <c r="B62" s="403"/>
      <c r="C62" s="403"/>
      <c r="D62" s="403"/>
      <c r="E62" s="403"/>
      <c r="F62" s="403"/>
      <c r="G62" s="403"/>
      <c r="H62" s="403"/>
      <c r="I62" s="403"/>
      <c r="J62" s="403"/>
      <c r="K62" s="403"/>
      <c r="L62" s="3"/>
      <c r="M62" s="403"/>
      <c r="N62" s="403"/>
      <c r="O62" s="403"/>
      <c r="P62" s="403"/>
      <c r="Q62" s="403"/>
      <c r="R62" s="403"/>
      <c r="S62" s="403"/>
      <c r="T62" s="403"/>
      <c r="U62" s="403"/>
      <c r="V62" s="403"/>
      <c r="W62" s="403"/>
      <c r="X62" s="403"/>
      <c r="Y62" s="403"/>
      <c r="Z62" s="403"/>
      <c r="AA62" s="403"/>
      <c r="AB62" s="403"/>
      <c r="AC62" s="403"/>
      <c r="AD62" s="403"/>
      <c r="AE62" s="403"/>
      <c r="AF62" s="403"/>
    </row>
    <row r="63" spans="1:32">
      <c r="A63" s="403"/>
      <c r="B63" s="403"/>
      <c r="C63" s="403"/>
      <c r="D63" s="403"/>
      <c r="E63" s="403"/>
      <c r="F63" s="403"/>
      <c r="G63" s="403"/>
      <c r="H63" s="403"/>
      <c r="I63" s="403"/>
      <c r="J63" s="403"/>
      <c r="K63" s="403"/>
      <c r="L63" s="3"/>
      <c r="M63" s="403"/>
      <c r="N63" s="403"/>
      <c r="O63" s="403"/>
      <c r="P63" s="403"/>
      <c r="Q63" s="403"/>
      <c r="R63" s="403"/>
      <c r="S63" s="403"/>
      <c r="T63" s="403"/>
      <c r="U63" s="403"/>
      <c r="V63" s="403"/>
      <c r="W63" s="403"/>
      <c r="X63" s="403"/>
      <c r="Y63" s="403"/>
      <c r="Z63" s="403"/>
      <c r="AA63" s="403"/>
      <c r="AB63" s="403"/>
      <c r="AC63" s="403"/>
      <c r="AD63" s="403"/>
      <c r="AE63" s="403"/>
      <c r="AF63" s="403"/>
    </row>
    <row r="64" spans="1:32">
      <c r="A64" s="403"/>
      <c r="B64" s="403"/>
      <c r="C64" s="403"/>
      <c r="D64" s="403"/>
      <c r="E64" s="403"/>
      <c r="F64" s="403"/>
      <c r="G64" s="403"/>
      <c r="H64" s="403"/>
      <c r="I64" s="403"/>
      <c r="J64" s="403"/>
      <c r="K64" s="403"/>
      <c r="L64" s="3"/>
      <c r="M64" s="403"/>
      <c r="N64" s="403"/>
      <c r="O64" s="403"/>
      <c r="P64" s="403"/>
      <c r="Q64" s="403"/>
      <c r="R64" s="403"/>
      <c r="S64" s="403"/>
      <c r="T64" s="403"/>
      <c r="U64" s="403"/>
      <c r="V64" s="403"/>
      <c r="W64" s="403"/>
      <c r="X64" s="403"/>
      <c r="Y64" s="403"/>
      <c r="Z64" s="403"/>
      <c r="AA64" s="403"/>
      <c r="AB64" s="403"/>
      <c r="AC64" s="403"/>
      <c r="AD64" s="403"/>
      <c r="AE64" s="403"/>
      <c r="AF64" s="403"/>
    </row>
    <row r="65" spans="1:32">
      <c r="A65" s="403"/>
      <c r="B65" s="403"/>
      <c r="C65" s="403"/>
      <c r="D65" s="403"/>
      <c r="E65" s="403"/>
      <c r="F65" s="403"/>
      <c r="G65" s="403"/>
      <c r="H65" s="403"/>
      <c r="I65" s="403"/>
      <c r="J65" s="403"/>
      <c r="K65" s="403"/>
      <c r="L65" s="3"/>
      <c r="M65" s="403"/>
      <c r="N65" s="403"/>
      <c r="O65" s="403"/>
      <c r="P65" s="403"/>
      <c r="Q65" s="403"/>
      <c r="R65" s="403"/>
      <c r="S65" s="403"/>
      <c r="T65" s="403"/>
      <c r="U65" s="403"/>
      <c r="V65" s="403"/>
      <c r="W65" s="403"/>
      <c r="X65" s="403"/>
      <c r="Y65" s="403"/>
      <c r="Z65" s="403"/>
      <c r="AA65" s="403"/>
      <c r="AB65" s="403"/>
      <c r="AC65" s="403"/>
      <c r="AD65" s="403"/>
      <c r="AE65" s="403"/>
      <c r="AF65" s="403"/>
    </row>
    <row r="66" spans="1:32">
      <c r="A66" s="403"/>
      <c r="B66" s="403"/>
      <c r="C66" s="403"/>
      <c r="D66" s="403"/>
      <c r="E66" s="403"/>
      <c r="F66" s="403"/>
      <c r="G66" s="403"/>
      <c r="H66" s="403"/>
      <c r="I66" s="403"/>
      <c r="J66" s="403"/>
      <c r="K66" s="403"/>
      <c r="L66" s="3"/>
      <c r="M66" s="403"/>
      <c r="N66" s="403"/>
      <c r="O66" s="403"/>
      <c r="P66" s="403"/>
      <c r="Q66" s="403"/>
      <c r="R66" s="403"/>
      <c r="S66" s="403"/>
      <c r="T66" s="403"/>
      <c r="U66" s="403"/>
      <c r="V66" s="403"/>
      <c r="W66" s="403"/>
      <c r="X66" s="403"/>
      <c r="Y66" s="403"/>
      <c r="Z66" s="403"/>
      <c r="AA66" s="403"/>
      <c r="AB66" s="403"/>
      <c r="AC66" s="403"/>
      <c r="AD66" s="403"/>
      <c r="AE66" s="403"/>
      <c r="AF66" s="403"/>
    </row>
    <row r="67" spans="1:32">
      <c r="A67" s="403"/>
      <c r="B67" s="403"/>
      <c r="C67" s="403"/>
      <c r="D67" s="403"/>
      <c r="E67" s="403"/>
      <c r="F67" s="403"/>
      <c r="G67" s="403"/>
      <c r="H67" s="403"/>
      <c r="I67" s="403"/>
      <c r="J67" s="403"/>
      <c r="K67" s="403"/>
      <c r="L67" s="3"/>
      <c r="M67" s="403"/>
      <c r="N67" s="403"/>
      <c r="O67" s="403"/>
      <c r="P67" s="403"/>
      <c r="Q67" s="403"/>
      <c r="R67" s="403"/>
      <c r="S67" s="403"/>
      <c r="T67" s="403"/>
      <c r="U67" s="403"/>
      <c r="V67" s="403"/>
      <c r="W67" s="403"/>
      <c r="X67" s="403"/>
      <c r="Y67" s="403"/>
      <c r="Z67" s="403"/>
      <c r="AA67" s="403"/>
      <c r="AB67" s="403"/>
      <c r="AC67" s="403"/>
      <c r="AD67" s="403"/>
      <c r="AE67" s="403"/>
      <c r="AF67" s="403"/>
    </row>
    <row r="68" spans="1:32">
      <c r="A68" s="403"/>
      <c r="B68" s="403"/>
      <c r="C68" s="403"/>
      <c r="D68" s="403"/>
      <c r="E68" s="403"/>
      <c r="F68" s="403"/>
      <c r="G68" s="403"/>
      <c r="H68" s="403"/>
      <c r="I68" s="403"/>
      <c r="J68" s="403"/>
      <c r="K68" s="403"/>
      <c r="L68" s="3"/>
      <c r="M68" s="403"/>
      <c r="N68" s="403"/>
      <c r="O68" s="403"/>
      <c r="P68" s="403"/>
      <c r="Q68" s="403"/>
      <c r="R68" s="403"/>
      <c r="S68" s="403"/>
      <c r="T68" s="403"/>
      <c r="U68" s="403"/>
      <c r="V68" s="403"/>
      <c r="W68" s="403"/>
      <c r="X68" s="403"/>
      <c r="Y68" s="403"/>
      <c r="Z68" s="403"/>
      <c r="AA68" s="403"/>
      <c r="AB68" s="403"/>
      <c r="AC68" s="403"/>
      <c r="AD68" s="403"/>
      <c r="AE68" s="403"/>
      <c r="AF68" s="403"/>
    </row>
    <row r="69" spans="1:32">
      <c r="A69" s="403"/>
      <c r="B69" s="403"/>
      <c r="C69" s="403"/>
      <c r="D69" s="403"/>
      <c r="E69" s="403"/>
      <c r="F69" s="403"/>
      <c r="G69" s="403"/>
      <c r="H69" s="403"/>
      <c r="I69" s="403"/>
      <c r="J69" s="403"/>
      <c r="K69" s="403"/>
      <c r="L69" s="3"/>
      <c r="M69" s="403"/>
      <c r="N69" s="403"/>
      <c r="O69" s="403"/>
      <c r="P69" s="403"/>
      <c r="Q69" s="403"/>
      <c r="R69" s="403"/>
      <c r="S69" s="403"/>
      <c r="T69" s="403"/>
      <c r="U69" s="403"/>
      <c r="V69" s="403"/>
      <c r="W69" s="403"/>
      <c r="X69" s="403"/>
      <c r="Y69" s="403"/>
      <c r="Z69" s="403"/>
      <c r="AA69" s="403"/>
      <c r="AB69" s="403"/>
      <c r="AC69" s="403"/>
      <c r="AD69" s="403"/>
      <c r="AE69" s="403"/>
      <c r="AF69" s="403"/>
    </row>
    <row r="70" spans="1:32">
      <c r="A70" s="403"/>
      <c r="B70" s="403"/>
      <c r="C70" s="403"/>
      <c r="D70" s="403"/>
      <c r="E70" s="403"/>
      <c r="F70" s="403"/>
      <c r="G70" s="403"/>
      <c r="H70" s="403"/>
      <c r="I70" s="403"/>
      <c r="J70" s="403"/>
      <c r="K70" s="403"/>
      <c r="L70" s="3"/>
      <c r="M70" s="403"/>
      <c r="N70" s="403"/>
      <c r="O70" s="403"/>
      <c r="P70" s="403"/>
      <c r="Q70" s="403"/>
      <c r="R70" s="403"/>
      <c r="S70" s="403"/>
      <c r="T70" s="403"/>
      <c r="U70" s="403"/>
      <c r="V70" s="403"/>
      <c r="W70" s="403"/>
      <c r="X70" s="403"/>
      <c r="Y70" s="403"/>
      <c r="Z70" s="403"/>
      <c r="AA70" s="403"/>
      <c r="AB70" s="403"/>
      <c r="AC70" s="403"/>
      <c r="AD70" s="403"/>
      <c r="AE70" s="403"/>
      <c r="AF70" s="403"/>
    </row>
    <row r="71" spans="1:32">
      <c r="A71" s="403"/>
      <c r="B71" s="403"/>
      <c r="C71" s="403"/>
      <c r="D71" s="403"/>
      <c r="E71" s="403"/>
      <c r="F71" s="403"/>
      <c r="G71" s="403"/>
      <c r="H71" s="403"/>
      <c r="I71" s="403"/>
      <c r="J71" s="403"/>
      <c r="K71" s="403"/>
      <c r="L71" s="3"/>
      <c r="M71" s="403"/>
      <c r="N71" s="403"/>
      <c r="O71" s="403"/>
      <c r="P71" s="403"/>
      <c r="Q71" s="403"/>
      <c r="R71" s="403"/>
      <c r="S71" s="403"/>
      <c r="T71" s="403"/>
      <c r="U71" s="403"/>
      <c r="V71" s="403"/>
      <c r="W71" s="403"/>
      <c r="X71" s="403"/>
      <c r="Y71" s="403"/>
      <c r="Z71" s="403"/>
      <c r="AA71" s="403"/>
      <c r="AB71" s="403"/>
      <c r="AC71" s="403"/>
      <c r="AD71" s="403"/>
      <c r="AE71" s="403"/>
      <c r="AF71" s="403"/>
    </row>
    <row r="72" spans="1:32">
      <c r="A72" s="403"/>
      <c r="B72" s="403"/>
      <c r="C72" s="403"/>
      <c r="D72" s="403"/>
      <c r="E72" s="403"/>
      <c r="F72" s="403"/>
      <c r="G72" s="403"/>
      <c r="H72" s="403"/>
      <c r="I72" s="403"/>
      <c r="J72" s="403"/>
      <c r="K72" s="403"/>
      <c r="L72" s="3"/>
      <c r="M72" s="403"/>
      <c r="N72" s="403"/>
      <c r="O72" s="403"/>
      <c r="P72" s="403"/>
      <c r="Q72" s="403"/>
      <c r="R72" s="403"/>
      <c r="S72" s="403"/>
      <c r="T72" s="403"/>
      <c r="U72" s="403"/>
      <c r="V72" s="403"/>
      <c r="W72" s="403"/>
      <c r="X72" s="403"/>
      <c r="Y72" s="403"/>
      <c r="Z72" s="403"/>
      <c r="AA72" s="403"/>
      <c r="AB72" s="403"/>
      <c r="AC72" s="403"/>
      <c r="AD72" s="403"/>
      <c r="AE72" s="403"/>
      <c r="AF72" s="403"/>
    </row>
    <row r="73" spans="1:32">
      <c r="A73" s="403"/>
      <c r="B73" s="403"/>
      <c r="C73" s="403"/>
      <c r="D73" s="403"/>
      <c r="E73" s="403"/>
      <c r="F73" s="403"/>
      <c r="G73" s="403"/>
      <c r="H73" s="403"/>
      <c r="I73" s="403"/>
      <c r="J73" s="403"/>
      <c r="K73" s="403"/>
      <c r="L73" s="3"/>
      <c r="M73" s="403"/>
      <c r="N73" s="403"/>
      <c r="O73" s="403"/>
      <c r="P73" s="403"/>
      <c r="Q73" s="403"/>
      <c r="R73" s="403"/>
      <c r="S73" s="403"/>
      <c r="T73" s="403"/>
      <c r="U73" s="403"/>
      <c r="V73" s="403"/>
      <c r="W73" s="403"/>
      <c r="X73" s="403"/>
      <c r="Y73" s="403"/>
      <c r="Z73" s="403"/>
      <c r="AA73" s="403"/>
      <c r="AB73" s="403"/>
      <c r="AC73" s="403"/>
      <c r="AD73" s="403"/>
      <c r="AE73" s="403"/>
      <c r="AF73" s="403"/>
    </row>
    <row r="74" spans="1:32">
      <c r="A74" s="403"/>
      <c r="B74" s="403"/>
      <c r="C74" s="403"/>
      <c r="D74" s="403"/>
      <c r="E74" s="403"/>
      <c r="F74" s="403"/>
      <c r="G74" s="403"/>
      <c r="H74" s="403"/>
      <c r="I74" s="403"/>
      <c r="J74" s="403"/>
      <c r="K74" s="403"/>
      <c r="L74" s="3"/>
      <c r="M74" s="403"/>
      <c r="N74" s="403"/>
      <c r="O74" s="403"/>
      <c r="P74" s="403"/>
      <c r="Q74" s="403"/>
      <c r="R74" s="403"/>
      <c r="S74" s="403"/>
      <c r="T74" s="403"/>
      <c r="U74" s="403"/>
      <c r="V74" s="403"/>
      <c r="W74" s="403"/>
      <c r="X74" s="403"/>
      <c r="Y74" s="403"/>
      <c r="Z74" s="403"/>
      <c r="AA74" s="403"/>
      <c r="AB74" s="403"/>
      <c r="AC74" s="403"/>
      <c r="AD74" s="403"/>
      <c r="AE74" s="403"/>
      <c r="AF74" s="403"/>
    </row>
    <row r="75" spans="1:32">
      <c r="A75" s="403"/>
      <c r="B75" s="403"/>
      <c r="C75" s="403"/>
      <c r="D75" s="403"/>
      <c r="E75" s="403"/>
      <c r="F75" s="403"/>
      <c r="G75" s="403"/>
      <c r="H75" s="403"/>
      <c r="I75" s="403"/>
      <c r="J75" s="403"/>
      <c r="K75" s="403"/>
      <c r="L75" s="3"/>
      <c r="M75" s="403"/>
      <c r="N75" s="403"/>
      <c r="O75" s="403"/>
      <c r="P75" s="403"/>
      <c r="Q75" s="403"/>
      <c r="R75" s="403"/>
      <c r="S75" s="403"/>
      <c r="T75" s="403"/>
      <c r="U75" s="403"/>
      <c r="V75" s="403"/>
      <c r="W75" s="403"/>
      <c r="X75" s="403"/>
      <c r="Y75" s="403"/>
      <c r="Z75" s="403"/>
      <c r="AA75" s="403"/>
      <c r="AB75" s="403"/>
      <c r="AC75" s="403"/>
      <c r="AD75" s="403"/>
      <c r="AE75" s="403"/>
      <c r="AF75" s="403"/>
    </row>
    <row r="76" spans="1:32">
      <c r="A76" s="403"/>
      <c r="B76" s="403"/>
      <c r="C76" s="403"/>
      <c r="D76" s="403"/>
      <c r="E76" s="403"/>
      <c r="F76" s="403"/>
      <c r="G76" s="403"/>
      <c r="H76" s="403"/>
      <c r="I76" s="403"/>
      <c r="J76" s="403"/>
      <c r="K76" s="403"/>
      <c r="L76" s="3"/>
      <c r="M76" s="403"/>
      <c r="N76" s="403"/>
      <c r="O76" s="403"/>
      <c r="P76" s="403"/>
      <c r="Q76" s="403"/>
      <c r="R76" s="403"/>
      <c r="S76" s="403"/>
      <c r="T76" s="403"/>
      <c r="U76" s="403"/>
      <c r="V76" s="403"/>
      <c r="W76" s="403"/>
      <c r="X76" s="403"/>
      <c r="Y76" s="403"/>
      <c r="Z76" s="403"/>
      <c r="AA76" s="403"/>
      <c r="AB76" s="403"/>
      <c r="AC76" s="403"/>
      <c r="AD76" s="403"/>
      <c r="AE76" s="403"/>
      <c r="AF76" s="403"/>
    </row>
    <row r="77" spans="1:32">
      <c r="A77" s="403"/>
      <c r="B77" s="403"/>
      <c r="C77" s="448"/>
      <c r="D77" s="403"/>
      <c r="E77" s="403"/>
      <c r="F77" s="403"/>
      <c r="G77" s="403"/>
      <c r="H77" s="403"/>
      <c r="I77" s="403"/>
      <c r="J77" s="403"/>
      <c r="K77" s="403"/>
      <c r="L77" s="3"/>
      <c r="M77" s="403"/>
      <c r="N77" s="403"/>
      <c r="O77" s="403"/>
      <c r="P77" s="403"/>
      <c r="Q77" s="403"/>
      <c r="R77" s="403"/>
      <c r="S77" s="403"/>
      <c r="T77" s="403"/>
      <c r="U77" s="403"/>
      <c r="V77" s="403"/>
      <c r="W77" s="403"/>
      <c r="X77" s="403"/>
      <c r="Y77" s="403"/>
      <c r="Z77" s="403"/>
      <c r="AA77" s="403"/>
      <c r="AB77" s="403"/>
      <c r="AC77" s="403"/>
      <c r="AD77" s="403"/>
      <c r="AE77" s="403"/>
      <c r="AF77" s="403"/>
    </row>
    <row r="78" spans="1:32" ht="15" customHeight="1">
      <c r="A78" s="403"/>
      <c r="B78" s="403"/>
      <c r="C78" s="403"/>
      <c r="D78" s="403"/>
      <c r="E78" s="403"/>
      <c r="F78" s="403"/>
      <c r="G78" s="403"/>
      <c r="H78" s="403"/>
      <c r="I78" s="403"/>
      <c r="J78" s="448"/>
      <c r="K78" s="403"/>
      <c r="L78" s="3"/>
      <c r="M78" s="403"/>
      <c r="N78" s="403"/>
      <c r="O78" s="403"/>
      <c r="P78" s="403"/>
      <c r="Q78" s="403"/>
      <c r="R78" s="403"/>
      <c r="S78" s="403"/>
      <c r="T78" s="403"/>
      <c r="U78" s="403"/>
      <c r="V78" s="403"/>
      <c r="W78" s="403"/>
      <c r="X78" s="403"/>
      <c r="Y78" s="403"/>
      <c r="Z78" s="403"/>
      <c r="AA78" s="403"/>
      <c r="AB78" s="403"/>
      <c r="AC78" s="403"/>
      <c r="AD78" s="403"/>
      <c r="AE78" s="403"/>
      <c r="AF78" s="403"/>
    </row>
    <row r="79" spans="1:32" ht="15" customHeight="1">
      <c r="A79" s="403"/>
      <c r="B79" s="403"/>
      <c r="C79" s="403"/>
      <c r="D79" s="403"/>
      <c r="E79" s="403"/>
      <c r="F79" s="403"/>
      <c r="G79" s="403"/>
      <c r="H79" s="403"/>
      <c r="I79" s="403"/>
      <c r="J79" s="448"/>
      <c r="K79" s="403"/>
      <c r="L79" s="3"/>
      <c r="M79" s="403"/>
      <c r="N79" s="403"/>
      <c r="O79" s="403"/>
      <c r="P79" s="403"/>
      <c r="Q79" s="403"/>
      <c r="R79" s="403"/>
      <c r="S79" s="403"/>
      <c r="T79" s="403"/>
      <c r="U79" s="403"/>
      <c r="V79" s="403"/>
      <c r="W79" s="403"/>
      <c r="X79" s="403"/>
      <c r="Y79" s="403"/>
      <c r="Z79" s="403"/>
      <c r="AA79" s="403"/>
      <c r="AB79" s="403"/>
      <c r="AC79" s="403"/>
      <c r="AD79" s="403"/>
      <c r="AE79" s="403"/>
      <c r="AF79" s="403"/>
    </row>
    <row r="80" spans="1:32" ht="15" customHeight="1">
      <c r="A80" s="403"/>
      <c r="B80" s="403"/>
      <c r="C80" s="403"/>
      <c r="D80" s="403"/>
      <c r="E80" s="403"/>
      <c r="F80" s="403"/>
      <c r="G80" s="403"/>
      <c r="H80" s="403"/>
      <c r="I80" s="403"/>
      <c r="J80" s="448"/>
      <c r="K80" s="403"/>
      <c r="L80" s="3"/>
      <c r="M80" s="403"/>
      <c r="N80" s="403"/>
      <c r="O80" s="403"/>
      <c r="P80" s="403"/>
      <c r="Q80" s="403"/>
      <c r="R80" s="403"/>
      <c r="S80" s="403"/>
      <c r="T80" s="403"/>
      <c r="U80" s="403"/>
      <c r="V80" s="403"/>
      <c r="W80" s="403"/>
      <c r="X80" s="403"/>
      <c r="Y80" s="403"/>
      <c r="Z80" s="403"/>
      <c r="AA80" s="403"/>
      <c r="AB80" s="403"/>
      <c r="AC80" s="403"/>
      <c r="AD80" s="403"/>
      <c r="AE80" s="403"/>
      <c r="AF80" s="403"/>
    </row>
    <row r="81" spans="1:32">
      <c r="A81" s="403"/>
      <c r="B81" s="403"/>
      <c r="C81" s="448"/>
      <c r="D81" s="403"/>
      <c r="E81" s="403"/>
      <c r="F81" s="403"/>
      <c r="G81" s="403"/>
      <c r="H81" s="403"/>
      <c r="I81" s="403"/>
      <c r="J81" s="403"/>
      <c r="K81" s="403"/>
      <c r="L81" s="3"/>
      <c r="M81" s="403"/>
      <c r="N81" s="403"/>
      <c r="O81" s="403"/>
      <c r="P81" s="403"/>
      <c r="Q81" s="403"/>
      <c r="R81" s="403"/>
      <c r="S81" s="403"/>
      <c r="T81" s="403"/>
      <c r="U81" s="403"/>
      <c r="V81" s="403"/>
      <c r="W81" s="403"/>
      <c r="X81" s="403"/>
      <c r="Y81" s="403"/>
      <c r="Z81" s="403"/>
      <c r="AA81" s="403"/>
      <c r="AB81" s="403"/>
      <c r="AC81" s="403"/>
      <c r="AD81" s="403"/>
      <c r="AE81" s="403"/>
      <c r="AF81" s="403"/>
    </row>
    <row r="82" spans="1:32">
      <c r="A82" s="403"/>
      <c r="B82" s="403"/>
      <c r="C82" s="403"/>
      <c r="D82" s="403"/>
      <c r="E82" s="403"/>
      <c r="F82" s="403"/>
      <c r="G82" s="403"/>
      <c r="H82" s="403"/>
      <c r="I82" s="403"/>
      <c r="J82" s="403"/>
      <c r="K82" s="403"/>
      <c r="L82" s="3"/>
      <c r="M82" s="403"/>
      <c r="N82" s="403"/>
      <c r="O82" s="403"/>
      <c r="P82" s="403"/>
      <c r="Q82" s="403"/>
      <c r="R82" s="403"/>
      <c r="S82" s="403"/>
      <c r="T82" s="403"/>
      <c r="U82" s="403"/>
      <c r="V82" s="403"/>
      <c r="W82" s="403"/>
      <c r="X82" s="403"/>
      <c r="Y82" s="403"/>
      <c r="Z82" s="403"/>
      <c r="AA82" s="403"/>
      <c r="AB82" s="403"/>
      <c r="AC82" s="403"/>
      <c r="AD82" s="403"/>
      <c r="AE82" s="403"/>
      <c r="AF82" s="403"/>
    </row>
    <row r="83" spans="1:32">
      <c r="A83" s="403"/>
      <c r="B83" s="403"/>
      <c r="C83" s="403"/>
      <c r="D83" s="403"/>
      <c r="E83" s="403"/>
      <c r="F83" s="403"/>
      <c r="G83" s="403"/>
      <c r="H83" s="403"/>
      <c r="I83" s="403"/>
      <c r="J83" s="403"/>
      <c r="K83" s="403"/>
      <c r="L83" s="3"/>
      <c r="M83" s="403"/>
      <c r="N83" s="403"/>
      <c r="O83" s="403"/>
      <c r="P83" s="403"/>
      <c r="Q83" s="403"/>
      <c r="R83" s="403"/>
      <c r="S83" s="403"/>
      <c r="T83" s="403"/>
      <c r="U83" s="403"/>
      <c r="V83" s="403"/>
      <c r="W83" s="403"/>
      <c r="X83" s="403"/>
      <c r="Y83" s="403"/>
      <c r="Z83" s="403"/>
      <c r="AA83" s="403"/>
      <c r="AB83" s="403"/>
      <c r="AC83" s="403"/>
      <c r="AD83" s="403"/>
      <c r="AE83" s="403"/>
      <c r="AF83" s="403"/>
    </row>
    <row r="84" spans="1:32">
      <c r="A84" s="403"/>
      <c r="B84" s="403"/>
      <c r="C84" s="403"/>
      <c r="D84" s="403"/>
      <c r="E84" s="403"/>
      <c r="F84" s="403"/>
      <c r="G84" s="403"/>
      <c r="H84" s="403"/>
      <c r="I84" s="403"/>
      <c r="J84" s="403"/>
      <c r="K84" s="403"/>
      <c r="L84" s="3"/>
      <c r="M84" s="403"/>
      <c r="N84" s="403"/>
      <c r="O84" s="403"/>
      <c r="P84" s="403"/>
      <c r="Q84" s="403"/>
      <c r="R84" s="403"/>
      <c r="S84" s="403"/>
      <c r="T84" s="403"/>
      <c r="U84" s="403"/>
      <c r="V84" s="403"/>
      <c r="W84" s="403"/>
      <c r="X84" s="403"/>
      <c r="Y84" s="403"/>
      <c r="Z84" s="403"/>
      <c r="AA84" s="403"/>
      <c r="AB84" s="403"/>
      <c r="AC84" s="403"/>
      <c r="AD84" s="403"/>
      <c r="AE84" s="403"/>
      <c r="AF84" s="403"/>
    </row>
    <row r="85" spans="1:32">
      <c r="A85" s="403"/>
      <c r="B85" s="403"/>
      <c r="C85" s="403"/>
      <c r="D85" s="403"/>
      <c r="E85" s="403"/>
      <c r="F85" s="403"/>
      <c r="G85" s="403"/>
      <c r="H85" s="403"/>
      <c r="I85" s="403"/>
      <c r="J85" s="403"/>
      <c r="K85" s="403"/>
      <c r="L85" s="3"/>
      <c r="M85" s="403"/>
      <c r="N85" s="403"/>
      <c r="O85" s="403"/>
      <c r="P85" s="403"/>
      <c r="Q85" s="403"/>
      <c r="R85" s="403"/>
      <c r="S85" s="403"/>
      <c r="T85" s="403"/>
      <c r="U85" s="403"/>
      <c r="V85" s="403"/>
      <c r="W85" s="403"/>
      <c r="X85" s="403"/>
      <c r="Y85" s="403"/>
      <c r="Z85" s="403"/>
      <c r="AA85" s="403"/>
      <c r="AB85" s="403"/>
      <c r="AC85" s="403"/>
      <c r="AD85" s="403"/>
      <c r="AE85" s="403"/>
      <c r="AF85" s="403"/>
    </row>
    <row r="86" spans="1:32">
      <c r="A86" s="403"/>
      <c r="B86" s="403"/>
      <c r="C86" s="403"/>
      <c r="D86" s="403"/>
      <c r="E86" s="403"/>
      <c r="F86" s="403"/>
      <c r="G86" s="403"/>
      <c r="H86" s="403"/>
      <c r="I86" s="403"/>
      <c r="J86" s="403"/>
      <c r="K86" s="403"/>
      <c r="L86" s="3"/>
      <c r="M86" s="403"/>
      <c r="N86" s="403"/>
      <c r="O86" s="403"/>
      <c r="P86" s="403"/>
      <c r="Q86" s="403"/>
      <c r="R86" s="403"/>
      <c r="S86" s="403"/>
      <c r="T86" s="403"/>
      <c r="U86" s="403"/>
      <c r="V86" s="403"/>
      <c r="W86" s="403"/>
      <c r="X86" s="403"/>
      <c r="Y86" s="403"/>
      <c r="Z86" s="403"/>
      <c r="AA86" s="403"/>
      <c r="AB86" s="403"/>
      <c r="AC86" s="403"/>
      <c r="AD86" s="403"/>
      <c r="AE86" s="403"/>
      <c r="AF86" s="403"/>
    </row>
    <row r="87" spans="1:32">
      <c r="A87" s="403"/>
      <c r="B87" s="403"/>
      <c r="C87" s="403"/>
      <c r="D87" s="403"/>
      <c r="E87" s="403"/>
      <c r="F87" s="403"/>
      <c r="G87" s="403"/>
      <c r="H87" s="403"/>
      <c r="I87" s="403"/>
      <c r="J87" s="403"/>
      <c r="K87" s="403"/>
      <c r="L87" s="3"/>
      <c r="M87" s="403"/>
      <c r="N87" s="403"/>
      <c r="O87" s="403"/>
      <c r="P87" s="403"/>
      <c r="Q87" s="403"/>
      <c r="R87" s="403"/>
      <c r="S87" s="403"/>
      <c r="T87" s="403"/>
      <c r="U87" s="403"/>
      <c r="V87" s="403"/>
      <c r="W87" s="403"/>
      <c r="X87" s="403"/>
      <c r="Y87" s="403"/>
      <c r="Z87" s="403"/>
      <c r="AA87" s="403"/>
      <c r="AB87" s="403"/>
      <c r="AC87" s="403"/>
      <c r="AD87" s="403"/>
      <c r="AE87" s="403"/>
      <c r="AF87" s="403"/>
    </row>
    <row r="88" spans="1:32">
      <c r="A88" s="403"/>
      <c r="B88" s="403"/>
      <c r="C88" s="403"/>
      <c r="D88" s="403"/>
      <c r="E88" s="403"/>
      <c r="F88" s="403"/>
      <c r="G88" s="403"/>
      <c r="H88" s="403"/>
      <c r="I88" s="403"/>
      <c r="J88" s="403"/>
      <c r="K88" s="403"/>
      <c r="L88" s="3"/>
      <c r="M88" s="403"/>
      <c r="N88" s="403"/>
      <c r="O88" s="403"/>
      <c r="P88" s="403"/>
      <c r="Q88" s="403"/>
      <c r="R88" s="403"/>
      <c r="S88" s="403"/>
      <c r="T88" s="403"/>
      <c r="U88" s="403"/>
      <c r="V88" s="403"/>
      <c r="W88" s="403"/>
      <c r="X88" s="403"/>
      <c r="Y88" s="403"/>
      <c r="Z88" s="403"/>
      <c r="AA88" s="403"/>
      <c r="AB88" s="403"/>
      <c r="AC88" s="403"/>
      <c r="AD88" s="403"/>
      <c r="AE88" s="403"/>
      <c r="AF88" s="403"/>
    </row>
    <row r="89" spans="1:32">
      <c r="A89" s="403"/>
      <c r="B89" s="403"/>
      <c r="C89" s="403"/>
      <c r="D89" s="403"/>
      <c r="E89" s="403"/>
      <c r="F89" s="403"/>
      <c r="G89" s="403"/>
      <c r="H89" s="403"/>
      <c r="I89" s="403"/>
      <c r="J89" s="403"/>
      <c r="K89" s="403"/>
      <c r="L89" s="3"/>
      <c r="M89" s="403"/>
      <c r="N89" s="403"/>
      <c r="O89" s="403"/>
      <c r="P89" s="403"/>
      <c r="Q89" s="403"/>
      <c r="R89" s="403"/>
      <c r="S89" s="403"/>
      <c r="T89" s="403"/>
      <c r="U89" s="403"/>
      <c r="V89" s="403"/>
      <c r="W89" s="403"/>
      <c r="X89" s="403"/>
      <c r="Y89" s="403"/>
      <c r="Z89" s="403"/>
      <c r="AA89" s="403"/>
      <c r="AB89" s="403"/>
      <c r="AC89" s="403"/>
      <c r="AD89" s="403"/>
      <c r="AE89" s="403"/>
      <c r="AF89" s="403"/>
    </row>
    <row r="90" spans="1:32">
      <c r="A90" s="403"/>
      <c r="B90" s="403"/>
      <c r="C90" s="403"/>
      <c r="D90" s="403"/>
      <c r="E90" s="403"/>
      <c r="F90" s="403"/>
      <c r="G90" s="403"/>
      <c r="H90" s="403"/>
      <c r="I90" s="403"/>
      <c r="J90" s="403"/>
      <c r="K90" s="403"/>
      <c r="L90" s="3"/>
      <c r="M90" s="403"/>
      <c r="N90" s="403"/>
      <c r="O90" s="403"/>
      <c r="P90" s="403"/>
      <c r="Q90" s="403"/>
      <c r="R90" s="403"/>
      <c r="S90" s="403"/>
      <c r="T90" s="403"/>
      <c r="U90" s="403"/>
      <c r="V90" s="403"/>
      <c r="W90" s="403"/>
      <c r="X90" s="403"/>
      <c r="Y90" s="403"/>
      <c r="Z90" s="403"/>
      <c r="AA90" s="403"/>
      <c r="AB90" s="403"/>
      <c r="AC90" s="403"/>
      <c r="AD90" s="403"/>
      <c r="AE90" s="403"/>
      <c r="AF90" s="403"/>
    </row>
    <row r="91" spans="1:32">
      <c r="A91" s="403"/>
      <c r="B91" s="403"/>
      <c r="C91" s="403"/>
      <c r="D91" s="403"/>
      <c r="E91" s="403"/>
      <c r="F91" s="403"/>
      <c r="G91" s="403"/>
      <c r="H91" s="403"/>
      <c r="I91" s="403"/>
      <c r="J91" s="403"/>
      <c r="K91" s="403"/>
      <c r="L91" s="3"/>
      <c r="M91" s="403"/>
      <c r="N91" s="403"/>
      <c r="O91" s="403"/>
      <c r="P91" s="403"/>
      <c r="Q91" s="403"/>
      <c r="R91" s="403"/>
      <c r="S91" s="403"/>
      <c r="T91" s="403"/>
      <c r="U91" s="403"/>
      <c r="V91" s="403"/>
      <c r="W91" s="403"/>
      <c r="X91" s="403"/>
      <c r="Y91" s="403"/>
      <c r="Z91" s="403"/>
      <c r="AA91" s="403"/>
      <c r="AB91" s="403"/>
      <c r="AC91" s="403"/>
      <c r="AD91" s="403"/>
      <c r="AE91" s="403"/>
      <c r="AF91" s="403"/>
    </row>
    <row r="92" spans="1:32">
      <c r="A92" s="403"/>
      <c r="B92" s="403"/>
      <c r="C92" s="403"/>
      <c r="D92" s="403"/>
      <c r="E92" s="403"/>
      <c r="F92" s="403"/>
      <c r="G92" s="403"/>
      <c r="H92" s="403"/>
      <c r="I92" s="403"/>
      <c r="J92" s="403"/>
      <c r="K92" s="403"/>
      <c r="L92" s="3"/>
      <c r="M92" s="403"/>
      <c r="N92" s="403"/>
      <c r="O92" s="403"/>
      <c r="P92" s="403"/>
      <c r="Q92" s="403"/>
      <c r="R92" s="403"/>
      <c r="S92" s="403"/>
      <c r="T92" s="403"/>
      <c r="U92" s="403"/>
      <c r="V92" s="403"/>
      <c r="W92" s="403"/>
      <c r="X92" s="403"/>
      <c r="Y92" s="403"/>
      <c r="Z92" s="403"/>
      <c r="AA92" s="403"/>
      <c r="AB92" s="403"/>
      <c r="AC92" s="403"/>
      <c r="AD92" s="403"/>
      <c r="AE92" s="403"/>
      <c r="AF92" s="403"/>
    </row>
    <row r="93" spans="1:32">
      <c r="A93" s="403"/>
      <c r="B93" s="403"/>
      <c r="C93" s="403"/>
      <c r="D93" s="403"/>
      <c r="E93" s="403"/>
      <c r="F93" s="403"/>
      <c r="G93" s="403"/>
      <c r="H93" s="403"/>
      <c r="I93" s="403"/>
      <c r="J93" s="403"/>
      <c r="K93" s="403"/>
      <c r="L93" s="3"/>
      <c r="M93" s="403"/>
      <c r="N93" s="403"/>
      <c r="O93" s="403"/>
      <c r="P93" s="403"/>
      <c r="Q93" s="403"/>
      <c r="R93" s="403"/>
      <c r="S93" s="403"/>
      <c r="T93" s="403"/>
      <c r="U93" s="403"/>
      <c r="V93" s="403"/>
      <c r="W93" s="403"/>
      <c r="X93" s="403"/>
      <c r="Y93" s="403"/>
      <c r="Z93" s="403"/>
      <c r="AA93" s="403"/>
      <c r="AB93" s="403"/>
      <c r="AC93" s="403"/>
      <c r="AD93" s="403"/>
      <c r="AE93" s="403"/>
      <c r="AF93" s="403"/>
    </row>
    <row r="94" spans="1:32">
      <c r="A94" s="403"/>
      <c r="B94" s="403"/>
      <c r="C94" s="448"/>
      <c r="D94" s="403"/>
      <c r="E94" s="403"/>
      <c r="F94" s="403"/>
      <c r="G94" s="403"/>
      <c r="H94" s="403"/>
      <c r="I94" s="403"/>
      <c r="J94" s="403"/>
      <c r="K94" s="403"/>
      <c r="L94" s="3"/>
      <c r="M94" s="403"/>
      <c r="N94" s="403"/>
      <c r="O94" s="403"/>
      <c r="P94" s="403"/>
      <c r="Q94" s="403"/>
      <c r="R94" s="403"/>
      <c r="S94" s="403"/>
      <c r="T94" s="403"/>
      <c r="U94" s="403"/>
      <c r="V94" s="403"/>
      <c r="W94" s="403"/>
      <c r="X94" s="403"/>
      <c r="Y94" s="403"/>
      <c r="Z94" s="403"/>
      <c r="AA94" s="403"/>
      <c r="AB94" s="403"/>
      <c r="AC94" s="403"/>
      <c r="AD94" s="403"/>
      <c r="AE94" s="403"/>
      <c r="AF94" s="403"/>
    </row>
    <row r="95" spans="1:32">
      <c r="A95" s="403"/>
      <c r="B95" s="403"/>
      <c r="C95" s="403"/>
      <c r="D95" s="403"/>
      <c r="E95" s="403"/>
      <c r="F95" s="403"/>
      <c r="G95" s="403"/>
      <c r="H95" s="403"/>
      <c r="I95" s="403"/>
      <c r="J95" s="403"/>
      <c r="K95" s="403"/>
      <c r="L95" s="3"/>
      <c r="M95" s="403"/>
      <c r="N95" s="403"/>
      <c r="O95" s="403"/>
      <c r="P95" s="403"/>
      <c r="Q95" s="403"/>
      <c r="R95" s="403"/>
      <c r="S95" s="403"/>
      <c r="T95" s="403"/>
      <c r="U95" s="403"/>
      <c r="V95" s="403"/>
      <c r="W95" s="403"/>
      <c r="X95" s="403"/>
      <c r="Y95" s="403"/>
      <c r="Z95" s="403"/>
      <c r="AA95" s="403"/>
      <c r="AB95" s="403"/>
      <c r="AC95" s="403"/>
      <c r="AD95" s="403"/>
      <c r="AE95" s="403"/>
      <c r="AF95" s="403"/>
    </row>
    <row r="96" spans="1:32">
      <c r="A96" s="403"/>
      <c r="B96" s="403"/>
      <c r="C96" s="403"/>
      <c r="D96" s="403"/>
      <c r="E96" s="403"/>
      <c r="F96" s="403"/>
      <c r="G96" s="403"/>
      <c r="H96" s="403"/>
      <c r="I96" s="403"/>
      <c r="J96" s="403"/>
      <c r="K96" s="403"/>
      <c r="L96" s="3"/>
      <c r="M96" s="403"/>
      <c r="N96" s="403"/>
      <c r="O96" s="403"/>
      <c r="P96" s="403"/>
      <c r="Q96" s="403"/>
      <c r="R96" s="403"/>
      <c r="S96" s="403"/>
      <c r="T96" s="403"/>
      <c r="U96" s="403"/>
      <c r="V96" s="403"/>
      <c r="W96" s="403"/>
      <c r="X96" s="403"/>
      <c r="Y96" s="403"/>
      <c r="Z96" s="403"/>
      <c r="AA96" s="403"/>
      <c r="AB96" s="403"/>
      <c r="AC96" s="403"/>
      <c r="AD96" s="403"/>
      <c r="AE96" s="403"/>
      <c r="AF96" s="403"/>
    </row>
    <row r="97" spans="1:32">
      <c r="A97" s="403"/>
      <c r="B97" s="403"/>
      <c r="C97" s="403"/>
      <c r="D97" s="403"/>
      <c r="E97" s="403"/>
      <c r="F97" s="403"/>
      <c r="G97" s="403"/>
      <c r="H97" s="403"/>
      <c r="I97" s="403"/>
      <c r="J97" s="403"/>
      <c r="K97" s="403"/>
      <c r="L97" s="3"/>
      <c r="M97" s="403"/>
      <c r="N97" s="403"/>
      <c r="O97" s="403"/>
      <c r="P97" s="403"/>
      <c r="Q97" s="403"/>
      <c r="R97" s="403"/>
      <c r="S97" s="403"/>
      <c r="T97" s="403"/>
      <c r="U97" s="403"/>
      <c r="V97" s="403"/>
      <c r="W97" s="403"/>
      <c r="X97" s="403"/>
      <c r="Y97" s="403"/>
      <c r="Z97" s="403"/>
      <c r="AA97" s="403"/>
      <c r="AB97" s="403"/>
      <c r="AC97" s="403"/>
      <c r="AD97" s="403"/>
      <c r="AE97" s="403"/>
      <c r="AF97" s="403"/>
    </row>
    <row r="98" spans="1:32">
      <c r="A98" s="403"/>
      <c r="B98" s="403"/>
      <c r="C98" s="403"/>
      <c r="D98" s="403"/>
      <c r="E98" s="403"/>
      <c r="F98" s="403"/>
      <c r="G98" s="403"/>
      <c r="H98" s="403"/>
      <c r="I98" s="403"/>
      <c r="J98" s="403"/>
      <c r="K98" s="403"/>
      <c r="L98" s="3"/>
      <c r="M98" s="403"/>
      <c r="N98" s="403"/>
      <c r="O98" s="403"/>
      <c r="P98" s="403"/>
      <c r="Q98" s="403"/>
      <c r="R98" s="403"/>
      <c r="S98" s="403"/>
      <c r="T98" s="403"/>
      <c r="U98" s="403"/>
      <c r="V98" s="403"/>
      <c r="W98" s="403"/>
      <c r="X98" s="403"/>
      <c r="Y98" s="403"/>
      <c r="Z98" s="403"/>
      <c r="AA98" s="403"/>
      <c r="AB98" s="403"/>
      <c r="AC98" s="403"/>
      <c r="AD98" s="403"/>
      <c r="AE98" s="403"/>
      <c r="AF98" s="403"/>
    </row>
    <row r="99" spans="1:32">
      <c r="A99" s="403"/>
      <c r="B99" s="403"/>
      <c r="C99" s="403"/>
      <c r="D99" s="403"/>
      <c r="E99" s="403"/>
      <c r="F99" s="403"/>
      <c r="G99" s="449"/>
      <c r="H99" s="403"/>
      <c r="I99" s="403"/>
      <c r="J99" s="403"/>
      <c r="K99" s="403"/>
      <c r="L99" s="3"/>
      <c r="M99" s="403"/>
      <c r="N99" s="403"/>
      <c r="O99" s="403"/>
      <c r="P99" s="403"/>
      <c r="Q99" s="403"/>
      <c r="R99" s="403"/>
      <c r="S99" s="403"/>
      <c r="T99" s="403"/>
      <c r="U99" s="403"/>
      <c r="V99" s="403"/>
      <c r="W99" s="403"/>
      <c r="X99" s="403"/>
      <c r="Y99" s="403"/>
      <c r="Z99" s="403"/>
      <c r="AA99" s="403"/>
      <c r="AB99" s="403"/>
      <c r="AC99" s="403"/>
      <c r="AD99" s="403"/>
      <c r="AE99" s="403"/>
      <c r="AF99" s="403"/>
    </row>
    <row r="100" spans="1:32">
      <c r="A100" s="403"/>
      <c r="B100" s="403"/>
      <c r="C100" s="403"/>
      <c r="D100" s="403"/>
      <c r="E100" s="403"/>
      <c r="F100" s="403"/>
      <c r="G100" s="449"/>
      <c r="H100" s="403"/>
      <c r="I100" s="403"/>
      <c r="J100" s="403"/>
      <c r="K100" s="403"/>
      <c r="L100" s="3"/>
      <c r="M100" s="403"/>
      <c r="N100" s="403"/>
      <c r="O100" s="403"/>
      <c r="P100" s="403"/>
      <c r="Q100" s="403"/>
      <c r="R100" s="403"/>
      <c r="S100" s="403"/>
      <c r="T100" s="403"/>
      <c r="U100" s="403"/>
      <c r="V100" s="403"/>
      <c r="W100" s="403"/>
      <c r="X100" s="403"/>
      <c r="Y100" s="403"/>
      <c r="Z100" s="403"/>
      <c r="AA100" s="403"/>
      <c r="AB100" s="403"/>
      <c r="AC100" s="403"/>
      <c r="AD100" s="403"/>
      <c r="AE100" s="403"/>
      <c r="AF100" s="403"/>
    </row>
    <row r="101" spans="1:32">
      <c r="A101" s="403"/>
      <c r="B101" s="403"/>
      <c r="C101" s="403"/>
      <c r="D101" s="403"/>
      <c r="E101" s="403"/>
      <c r="F101" s="403"/>
      <c r="G101" s="449"/>
      <c r="H101" s="403"/>
      <c r="I101" s="403"/>
      <c r="J101" s="403"/>
      <c r="K101" s="403"/>
      <c r="L101" s="3"/>
      <c r="M101" s="403"/>
      <c r="N101" s="403"/>
      <c r="O101" s="403"/>
      <c r="P101" s="403"/>
      <c r="Q101" s="403"/>
      <c r="R101" s="403"/>
      <c r="S101" s="403"/>
      <c r="T101" s="403"/>
      <c r="U101" s="403"/>
      <c r="V101" s="403"/>
      <c r="W101" s="403"/>
      <c r="X101" s="403"/>
      <c r="Y101" s="403"/>
      <c r="Z101" s="403"/>
      <c r="AA101" s="403"/>
      <c r="AB101" s="403"/>
      <c r="AC101" s="403"/>
      <c r="AD101" s="403"/>
      <c r="AE101" s="403"/>
      <c r="AF101" s="403"/>
    </row>
    <row r="102" spans="1:32">
      <c r="A102" s="403"/>
      <c r="B102" s="403"/>
      <c r="C102" s="403"/>
      <c r="D102" s="403"/>
      <c r="E102" s="403"/>
      <c r="F102" s="403"/>
      <c r="G102" s="449"/>
      <c r="H102" s="403"/>
      <c r="I102" s="403"/>
      <c r="J102" s="403"/>
      <c r="K102" s="403"/>
      <c r="L102" s="3"/>
      <c r="M102" s="403"/>
      <c r="N102" s="403"/>
      <c r="O102" s="403"/>
      <c r="P102" s="403"/>
      <c r="Q102" s="403"/>
      <c r="R102" s="403"/>
      <c r="S102" s="403"/>
      <c r="T102" s="403"/>
      <c r="U102" s="403"/>
      <c r="V102" s="403"/>
      <c r="W102" s="403"/>
      <c r="X102" s="403"/>
      <c r="Y102" s="403"/>
      <c r="Z102" s="403"/>
      <c r="AA102" s="403"/>
      <c r="AB102" s="403"/>
      <c r="AC102" s="403"/>
      <c r="AD102" s="403"/>
      <c r="AE102" s="403"/>
      <c r="AF102" s="403"/>
    </row>
    <row r="103" spans="1:32">
      <c r="A103" s="403"/>
      <c r="B103" s="403"/>
      <c r="C103" s="403"/>
      <c r="D103" s="403"/>
      <c r="E103" s="403"/>
      <c r="F103" s="403"/>
      <c r="G103" s="449"/>
      <c r="H103" s="403"/>
      <c r="I103" s="403"/>
      <c r="J103" s="403"/>
      <c r="K103" s="403"/>
      <c r="L103" s="3"/>
      <c r="M103" s="403"/>
      <c r="N103" s="403"/>
      <c r="O103" s="403"/>
      <c r="P103" s="403"/>
      <c r="Q103" s="403"/>
      <c r="R103" s="403"/>
      <c r="S103" s="403"/>
      <c r="T103" s="403"/>
      <c r="U103" s="403"/>
      <c r="V103" s="403"/>
      <c r="W103" s="403"/>
      <c r="X103" s="403"/>
      <c r="Y103" s="403"/>
      <c r="Z103" s="403"/>
      <c r="AA103" s="403"/>
      <c r="AB103" s="403"/>
      <c r="AC103" s="403"/>
      <c r="AD103" s="403"/>
      <c r="AE103" s="403"/>
      <c r="AF103" s="403"/>
    </row>
    <row r="104" spans="1:32">
      <c r="A104" s="403"/>
      <c r="B104" s="403"/>
      <c r="C104" s="403"/>
      <c r="D104" s="403"/>
      <c r="E104" s="403"/>
      <c r="F104" s="403"/>
      <c r="G104" s="449"/>
      <c r="H104" s="403"/>
      <c r="I104" s="403"/>
      <c r="J104" s="403"/>
      <c r="K104" s="403"/>
      <c r="L104" s="3"/>
      <c r="M104" s="403"/>
      <c r="N104" s="403"/>
      <c r="O104" s="403"/>
      <c r="P104" s="403"/>
      <c r="Q104" s="403"/>
      <c r="R104" s="403"/>
      <c r="S104" s="403"/>
      <c r="T104" s="403"/>
      <c r="U104" s="403"/>
      <c r="V104" s="403"/>
      <c r="W104" s="403"/>
      <c r="X104" s="403"/>
      <c r="Y104" s="403"/>
      <c r="Z104" s="403"/>
      <c r="AA104" s="403"/>
      <c r="AB104" s="403"/>
      <c r="AC104" s="403"/>
      <c r="AD104" s="403"/>
      <c r="AE104" s="403"/>
      <c r="AF104" s="403"/>
    </row>
    <row r="105" spans="1:32">
      <c r="A105" s="403"/>
      <c r="B105" s="403"/>
      <c r="C105" s="403"/>
      <c r="D105" s="403"/>
      <c r="E105" s="403"/>
      <c r="F105" s="403"/>
      <c r="G105" s="449"/>
      <c r="H105" s="403"/>
      <c r="I105" s="403"/>
      <c r="J105" s="403"/>
      <c r="K105" s="403"/>
      <c r="L105" s="3"/>
      <c r="M105" s="403"/>
      <c r="N105" s="403"/>
      <c r="O105" s="403"/>
      <c r="P105" s="403"/>
      <c r="Q105" s="403"/>
      <c r="R105" s="403"/>
      <c r="S105" s="403"/>
      <c r="T105" s="403"/>
      <c r="U105" s="403"/>
      <c r="V105" s="403"/>
      <c r="W105" s="403"/>
      <c r="X105" s="403"/>
      <c r="Y105" s="403"/>
      <c r="Z105" s="403"/>
      <c r="AA105" s="403"/>
      <c r="AB105" s="403"/>
      <c r="AC105" s="403"/>
      <c r="AD105" s="403"/>
      <c r="AE105" s="403"/>
      <c r="AF105" s="403"/>
    </row>
    <row r="106" spans="1:32">
      <c r="A106" s="403"/>
      <c r="B106" s="403"/>
      <c r="C106" s="403"/>
      <c r="D106" s="403"/>
      <c r="E106" s="403"/>
      <c r="F106" s="403"/>
      <c r="G106" s="403"/>
      <c r="H106" s="403"/>
      <c r="I106" s="403"/>
      <c r="J106" s="403"/>
      <c r="K106" s="403"/>
      <c r="L106" s="3"/>
      <c r="M106" s="403"/>
      <c r="N106" s="403"/>
      <c r="O106" s="403"/>
      <c r="P106" s="403"/>
      <c r="Q106" s="403"/>
      <c r="R106" s="403"/>
      <c r="S106" s="403"/>
      <c r="T106" s="403"/>
      <c r="U106" s="403"/>
      <c r="V106" s="403"/>
      <c r="W106" s="403"/>
      <c r="X106" s="403"/>
      <c r="Y106" s="403"/>
      <c r="Z106" s="403"/>
      <c r="AA106" s="403"/>
      <c r="AB106" s="403"/>
      <c r="AC106" s="403"/>
      <c r="AD106" s="403"/>
      <c r="AE106" s="403"/>
      <c r="AF106" s="403"/>
    </row>
    <row r="107" spans="1:32">
      <c r="A107" s="403"/>
      <c r="B107" s="403"/>
      <c r="C107" s="448"/>
      <c r="D107" s="403"/>
      <c r="E107" s="403"/>
      <c r="F107" s="403"/>
      <c r="G107" s="403"/>
      <c r="H107" s="403"/>
      <c r="I107" s="403"/>
      <c r="J107" s="403"/>
      <c r="K107" s="403"/>
      <c r="L107" s="3"/>
      <c r="M107" s="403"/>
      <c r="N107" s="403"/>
      <c r="O107" s="403"/>
      <c r="P107" s="403"/>
      <c r="Q107" s="403"/>
      <c r="R107" s="403"/>
      <c r="S107" s="403"/>
      <c r="T107" s="403"/>
      <c r="U107" s="403"/>
      <c r="V107" s="403"/>
      <c r="W107" s="403"/>
      <c r="X107" s="403"/>
      <c r="Y107" s="403"/>
      <c r="Z107" s="403"/>
      <c r="AA107" s="403"/>
      <c r="AB107" s="403"/>
      <c r="AC107" s="403"/>
      <c r="AD107" s="403"/>
      <c r="AE107" s="403"/>
      <c r="AF107" s="403"/>
    </row>
    <row r="108" spans="1:32">
      <c r="A108" s="403"/>
      <c r="B108" s="403"/>
      <c r="C108" s="403"/>
      <c r="D108" s="403"/>
      <c r="E108" s="403"/>
      <c r="F108" s="403"/>
      <c r="G108" s="403"/>
      <c r="H108" s="403"/>
      <c r="I108" s="403"/>
      <c r="J108" s="403"/>
      <c r="K108" s="403"/>
      <c r="L108" s="3"/>
      <c r="M108" s="403"/>
      <c r="N108" s="403"/>
      <c r="O108" s="403"/>
      <c r="P108" s="403"/>
      <c r="Q108" s="403"/>
      <c r="R108" s="403"/>
      <c r="S108" s="403"/>
      <c r="T108" s="403"/>
      <c r="U108" s="403"/>
      <c r="V108" s="403"/>
      <c r="W108" s="403"/>
      <c r="X108" s="403"/>
      <c r="Y108" s="403"/>
      <c r="Z108" s="403"/>
      <c r="AA108" s="403"/>
      <c r="AB108" s="403"/>
      <c r="AC108" s="403"/>
      <c r="AD108" s="403"/>
      <c r="AE108" s="403"/>
      <c r="AF108" s="403"/>
    </row>
    <row r="109" spans="1:32">
      <c r="A109" s="403"/>
      <c r="B109" s="403"/>
      <c r="C109" s="403"/>
      <c r="D109" s="403"/>
      <c r="E109" s="403"/>
      <c r="F109" s="403"/>
      <c r="G109" s="403"/>
      <c r="H109" s="403"/>
      <c r="I109" s="403"/>
      <c r="J109" s="403"/>
      <c r="K109" s="403"/>
      <c r="L109" s="3"/>
      <c r="M109" s="403"/>
      <c r="N109" s="403"/>
      <c r="O109" s="403"/>
      <c r="P109" s="403"/>
      <c r="Q109" s="403"/>
      <c r="R109" s="403"/>
      <c r="S109" s="403"/>
      <c r="T109" s="403"/>
      <c r="U109" s="403"/>
      <c r="V109" s="403"/>
      <c r="W109" s="403"/>
      <c r="X109" s="403"/>
      <c r="Y109" s="403"/>
      <c r="Z109" s="403"/>
      <c r="AA109" s="403"/>
      <c r="AB109" s="403"/>
      <c r="AC109" s="403"/>
      <c r="AD109" s="403"/>
      <c r="AE109" s="403"/>
      <c r="AF109" s="403"/>
    </row>
    <row r="110" spans="1:32">
      <c r="A110" s="403"/>
      <c r="B110" s="403"/>
      <c r="C110" s="403"/>
      <c r="D110" s="403"/>
      <c r="E110" s="403"/>
      <c r="F110" s="403"/>
      <c r="G110" s="403"/>
      <c r="H110" s="403"/>
      <c r="I110" s="403"/>
      <c r="J110" s="403"/>
      <c r="K110" s="403"/>
      <c r="L110" s="3"/>
      <c r="M110" s="403"/>
      <c r="N110" s="403"/>
      <c r="O110" s="403"/>
      <c r="P110" s="403"/>
      <c r="Q110" s="403"/>
      <c r="R110" s="403"/>
      <c r="S110" s="403"/>
      <c r="T110" s="403"/>
      <c r="U110" s="403"/>
      <c r="V110" s="403"/>
      <c r="W110" s="403"/>
      <c r="X110" s="403"/>
      <c r="Y110" s="403"/>
      <c r="Z110" s="403"/>
      <c r="AA110" s="403"/>
      <c r="AB110" s="403"/>
      <c r="AC110" s="403"/>
      <c r="AD110" s="403"/>
      <c r="AE110" s="403"/>
      <c r="AF110" s="403"/>
    </row>
    <row r="111" spans="1:32">
      <c r="A111" s="403"/>
      <c r="B111" s="403"/>
      <c r="C111" s="403"/>
      <c r="D111" s="403"/>
      <c r="E111" s="403"/>
      <c r="F111" s="403"/>
      <c r="G111" s="403"/>
      <c r="H111" s="403"/>
      <c r="I111" s="403"/>
      <c r="J111" s="403"/>
      <c r="K111" s="403"/>
      <c r="L111" s="3"/>
      <c r="M111" s="403"/>
      <c r="N111" s="403"/>
      <c r="O111" s="403"/>
      <c r="P111" s="403"/>
      <c r="Q111" s="403"/>
      <c r="R111" s="403"/>
      <c r="S111" s="403"/>
      <c r="T111" s="403"/>
      <c r="U111" s="403"/>
      <c r="V111" s="403"/>
      <c r="W111" s="403"/>
      <c r="X111" s="403"/>
      <c r="Y111" s="403"/>
      <c r="Z111" s="403"/>
      <c r="AA111" s="403"/>
      <c r="AB111" s="403"/>
      <c r="AC111" s="403"/>
      <c r="AD111" s="403"/>
      <c r="AE111" s="403"/>
      <c r="AF111" s="403"/>
    </row>
    <row r="112" spans="1:32">
      <c r="A112" s="403"/>
      <c r="B112" s="403"/>
      <c r="C112" s="403"/>
      <c r="D112" s="403"/>
      <c r="E112" s="403"/>
      <c r="F112" s="403"/>
      <c r="G112" s="403"/>
      <c r="H112" s="403"/>
      <c r="I112" s="403"/>
      <c r="J112" s="403"/>
      <c r="K112" s="403"/>
      <c r="L112" s="3"/>
      <c r="M112" s="403"/>
      <c r="N112" s="403"/>
      <c r="O112" s="403"/>
      <c r="P112" s="403"/>
      <c r="Q112" s="403"/>
      <c r="R112" s="403"/>
      <c r="S112" s="403"/>
      <c r="T112" s="403"/>
      <c r="U112" s="403"/>
      <c r="V112" s="403"/>
      <c r="W112" s="403"/>
      <c r="X112" s="403"/>
      <c r="Y112" s="403"/>
      <c r="Z112" s="403"/>
      <c r="AA112" s="403"/>
      <c r="AB112" s="403"/>
      <c r="AC112" s="403"/>
      <c r="AD112" s="403"/>
      <c r="AE112" s="403"/>
      <c r="AF112" s="403"/>
    </row>
    <row r="113" spans="1:32">
      <c r="A113" s="403"/>
      <c r="B113" s="403"/>
      <c r="C113" s="403"/>
      <c r="D113" s="403"/>
      <c r="E113" s="403"/>
      <c r="F113" s="403"/>
      <c r="G113" s="403"/>
      <c r="H113" s="403"/>
      <c r="I113" s="403"/>
      <c r="J113" s="403"/>
      <c r="K113" s="403"/>
      <c r="L113" s="3"/>
      <c r="M113" s="403"/>
      <c r="N113" s="403"/>
      <c r="O113" s="403"/>
      <c r="P113" s="403"/>
      <c r="Q113" s="403"/>
      <c r="R113" s="403"/>
      <c r="S113" s="403"/>
      <c r="T113" s="403"/>
      <c r="U113" s="403"/>
      <c r="V113" s="403"/>
      <c r="W113" s="403"/>
      <c r="X113" s="403"/>
      <c r="Y113" s="403"/>
      <c r="Z113" s="403"/>
      <c r="AA113" s="403"/>
      <c r="AB113" s="403"/>
      <c r="AC113" s="403"/>
      <c r="AD113" s="403"/>
      <c r="AE113" s="403"/>
      <c r="AF113" s="403"/>
    </row>
    <row r="114" spans="1:32">
      <c r="A114" s="403"/>
      <c r="B114" s="403"/>
      <c r="C114" s="403"/>
      <c r="D114" s="403"/>
      <c r="E114" s="403"/>
      <c r="F114" s="403"/>
      <c r="G114" s="403"/>
      <c r="H114" s="403"/>
      <c r="I114" s="403"/>
      <c r="J114" s="403"/>
      <c r="K114" s="403"/>
      <c r="L114" s="3"/>
      <c r="M114" s="403"/>
      <c r="N114" s="403"/>
      <c r="O114" s="403"/>
      <c r="P114" s="403"/>
      <c r="Q114" s="403"/>
      <c r="R114" s="403"/>
      <c r="S114" s="403"/>
      <c r="T114" s="403"/>
      <c r="U114" s="403"/>
      <c r="V114" s="403"/>
      <c r="W114" s="403"/>
      <c r="X114" s="403"/>
      <c r="Y114" s="403"/>
      <c r="Z114" s="403"/>
      <c r="AA114" s="403"/>
      <c r="AB114" s="403"/>
      <c r="AC114" s="403"/>
      <c r="AD114" s="403"/>
      <c r="AE114" s="403"/>
      <c r="AF114" s="403"/>
    </row>
    <row r="115" spans="1:32" ht="15" customHeight="1">
      <c r="A115" s="403"/>
      <c r="B115" s="403"/>
      <c r="C115" s="403"/>
      <c r="D115" s="403"/>
      <c r="E115" s="403"/>
      <c r="F115" s="403"/>
      <c r="G115" s="403"/>
      <c r="H115" s="403"/>
      <c r="I115" s="403"/>
      <c r="J115" s="448"/>
      <c r="K115" s="403"/>
      <c r="L115" s="3"/>
      <c r="M115" s="403"/>
      <c r="N115" s="403"/>
      <c r="O115" s="403"/>
      <c r="P115" s="403"/>
      <c r="Q115" s="403"/>
      <c r="R115" s="403"/>
      <c r="S115" s="403"/>
      <c r="T115" s="403"/>
      <c r="U115" s="403"/>
      <c r="V115" s="403"/>
      <c r="W115" s="403"/>
      <c r="X115" s="403"/>
      <c r="Y115" s="403"/>
      <c r="Z115" s="403"/>
      <c r="AA115" s="403"/>
      <c r="AB115" s="403"/>
      <c r="AC115" s="403"/>
      <c r="AD115" s="403"/>
      <c r="AE115" s="403"/>
      <c r="AF115" s="403"/>
    </row>
    <row r="116" spans="1:32">
      <c r="A116" s="403"/>
      <c r="B116" s="403"/>
      <c r="C116" s="403"/>
      <c r="D116" s="403"/>
      <c r="E116" s="403"/>
      <c r="F116" s="403"/>
      <c r="G116" s="403"/>
      <c r="H116" s="403"/>
      <c r="I116" s="403"/>
      <c r="J116" s="403"/>
      <c r="K116" s="403"/>
      <c r="L116" s="3"/>
      <c r="M116" s="403"/>
      <c r="N116" s="403"/>
      <c r="O116" s="403"/>
      <c r="P116" s="403"/>
      <c r="Q116" s="403"/>
      <c r="R116" s="403"/>
      <c r="S116" s="403"/>
      <c r="T116" s="403"/>
      <c r="U116" s="403"/>
      <c r="V116" s="403"/>
      <c r="W116" s="403"/>
      <c r="X116" s="403"/>
      <c r="Y116" s="403"/>
      <c r="Z116" s="403"/>
      <c r="AA116" s="403"/>
      <c r="AB116" s="403"/>
      <c r="AC116" s="403"/>
      <c r="AD116" s="403"/>
      <c r="AE116" s="403"/>
      <c r="AF116" s="403"/>
    </row>
    <row r="117" spans="1:32">
      <c r="A117" s="403"/>
      <c r="B117" s="403"/>
      <c r="C117" s="403"/>
      <c r="D117" s="403"/>
      <c r="E117" s="403"/>
      <c r="F117" s="403"/>
      <c r="G117" s="403"/>
      <c r="H117" s="403"/>
      <c r="I117" s="403"/>
      <c r="J117" s="403"/>
      <c r="K117" s="403"/>
      <c r="L117" s="3"/>
      <c r="M117" s="403"/>
      <c r="N117" s="403"/>
      <c r="O117" s="403"/>
      <c r="P117" s="403"/>
      <c r="Q117" s="403"/>
      <c r="R117" s="403"/>
      <c r="S117" s="403"/>
      <c r="T117" s="403"/>
      <c r="U117" s="403"/>
      <c r="V117" s="403"/>
      <c r="W117" s="403"/>
      <c r="X117" s="403"/>
      <c r="Y117" s="403"/>
      <c r="Z117" s="403"/>
      <c r="AA117" s="403"/>
      <c r="AB117" s="403"/>
      <c r="AC117" s="403"/>
      <c r="AD117" s="403"/>
      <c r="AE117" s="403"/>
      <c r="AF117" s="403"/>
    </row>
    <row r="118" spans="1:32">
      <c r="A118" s="403"/>
      <c r="B118" s="403"/>
      <c r="C118" s="403"/>
      <c r="D118" s="403"/>
      <c r="E118" s="403"/>
      <c r="F118" s="403"/>
      <c r="G118" s="403"/>
      <c r="H118" s="403"/>
      <c r="I118" s="403"/>
      <c r="J118" s="403"/>
      <c r="K118" s="403"/>
      <c r="L118" s="3"/>
      <c r="M118" s="403"/>
      <c r="N118" s="403"/>
      <c r="O118" s="403"/>
      <c r="P118" s="403"/>
      <c r="Q118" s="403"/>
      <c r="R118" s="403"/>
      <c r="S118" s="403"/>
      <c r="T118" s="403"/>
      <c r="U118" s="403"/>
      <c r="V118" s="403"/>
      <c r="W118" s="403"/>
      <c r="X118" s="403"/>
      <c r="Y118" s="403"/>
      <c r="Z118" s="403"/>
      <c r="AA118" s="403"/>
      <c r="AB118" s="403"/>
      <c r="AC118" s="403"/>
      <c r="AD118" s="403"/>
      <c r="AE118" s="403"/>
      <c r="AF118" s="403"/>
    </row>
    <row r="119" spans="1:32">
      <c r="A119" s="403"/>
      <c r="B119" s="403"/>
      <c r="C119" s="403"/>
      <c r="D119" s="403"/>
      <c r="E119" s="403"/>
      <c r="F119" s="403"/>
      <c r="G119" s="403"/>
      <c r="H119" s="403"/>
      <c r="I119" s="403"/>
      <c r="J119" s="403"/>
      <c r="K119" s="403"/>
      <c r="L119" s="3"/>
      <c r="M119" s="403"/>
      <c r="N119" s="403"/>
      <c r="O119" s="403"/>
      <c r="P119" s="403"/>
      <c r="Q119" s="403"/>
      <c r="R119" s="403"/>
      <c r="S119" s="403"/>
      <c r="T119" s="403"/>
      <c r="U119" s="403"/>
      <c r="V119" s="403"/>
      <c r="W119" s="403"/>
      <c r="X119" s="403"/>
      <c r="Y119" s="403"/>
      <c r="Z119" s="403"/>
      <c r="AA119" s="403"/>
      <c r="AB119" s="403"/>
      <c r="AC119" s="403"/>
      <c r="AD119" s="403"/>
      <c r="AE119" s="403"/>
      <c r="AF119" s="403"/>
    </row>
    <row r="120" spans="1:32">
      <c r="A120" s="403"/>
      <c r="B120" s="403"/>
      <c r="C120" s="403"/>
      <c r="D120" s="403"/>
      <c r="E120" s="403"/>
      <c r="F120" s="403"/>
      <c r="G120" s="403"/>
      <c r="H120" s="403"/>
      <c r="I120" s="403"/>
      <c r="J120" s="403"/>
      <c r="K120" s="403"/>
      <c r="L120" s="3"/>
      <c r="M120" s="403"/>
      <c r="N120" s="403"/>
      <c r="O120" s="403"/>
      <c r="P120" s="403"/>
      <c r="Q120" s="403"/>
      <c r="R120" s="403"/>
      <c r="S120" s="403"/>
      <c r="T120" s="403"/>
      <c r="U120" s="403"/>
      <c r="V120" s="403"/>
      <c r="W120" s="403"/>
      <c r="X120" s="403"/>
      <c r="Y120" s="403"/>
      <c r="Z120" s="403"/>
      <c r="AA120" s="403"/>
      <c r="AB120" s="403"/>
      <c r="AC120" s="403"/>
      <c r="AD120" s="403"/>
      <c r="AE120" s="403"/>
      <c r="AF120" s="403"/>
    </row>
    <row r="121" spans="1:32">
      <c r="A121" s="403"/>
      <c r="B121" s="403"/>
      <c r="C121" s="448"/>
      <c r="D121" s="448"/>
      <c r="E121" s="403"/>
      <c r="F121" s="403"/>
      <c r="G121" s="403"/>
      <c r="H121" s="403"/>
      <c r="I121" s="403"/>
      <c r="J121" s="403"/>
      <c r="K121" s="403"/>
      <c r="L121" s="3"/>
      <c r="M121" s="403"/>
      <c r="N121" s="403"/>
      <c r="O121" s="403"/>
      <c r="P121" s="403"/>
      <c r="Q121" s="403"/>
      <c r="R121" s="403"/>
      <c r="S121" s="403"/>
      <c r="T121" s="403"/>
      <c r="U121" s="403"/>
      <c r="V121" s="403"/>
      <c r="W121" s="403"/>
      <c r="X121" s="403"/>
      <c r="Y121" s="403"/>
      <c r="Z121" s="403"/>
      <c r="AA121" s="403"/>
      <c r="AB121" s="403"/>
      <c r="AC121" s="403"/>
      <c r="AD121" s="403"/>
      <c r="AE121" s="403"/>
      <c r="AF121" s="403"/>
    </row>
    <row r="122" spans="1:32">
      <c r="A122" s="403"/>
      <c r="B122" s="403"/>
      <c r="C122" s="403"/>
      <c r="D122" s="403"/>
      <c r="E122" s="403"/>
      <c r="F122" s="403"/>
      <c r="G122" s="403"/>
      <c r="H122" s="403"/>
      <c r="I122" s="403"/>
      <c r="J122" s="403"/>
      <c r="K122" s="403"/>
      <c r="L122" s="3"/>
      <c r="M122" s="403"/>
      <c r="N122" s="403"/>
      <c r="O122" s="403"/>
      <c r="P122" s="403"/>
      <c r="Q122" s="403"/>
      <c r="R122" s="403"/>
      <c r="S122" s="403"/>
      <c r="T122" s="403"/>
      <c r="U122" s="403"/>
      <c r="V122" s="403"/>
      <c r="W122" s="403"/>
      <c r="X122" s="403"/>
      <c r="Y122" s="403"/>
      <c r="Z122" s="403"/>
      <c r="AA122" s="403"/>
      <c r="AB122" s="403"/>
      <c r="AC122" s="403"/>
      <c r="AD122" s="403"/>
      <c r="AE122" s="403"/>
      <c r="AF122" s="403"/>
    </row>
    <row r="123" spans="1:32">
      <c r="A123" s="403"/>
      <c r="B123" s="403"/>
      <c r="C123" s="403"/>
      <c r="D123" s="403"/>
      <c r="E123" s="403"/>
      <c r="F123" s="403"/>
      <c r="G123" s="403"/>
      <c r="H123" s="403"/>
      <c r="I123" s="403"/>
      <c r="J123" s="403"/>
      <c r="K123" s="403"/>
      <c r="L123" s="3"/>
      <c r="M123" s="403"/>
      <c r="N123" s="403"/>
      <c r="O123" s="403"/>
      <c r="P123" s="403"/>
      <c r="Q123" s="403"/>
      <c r="R123" s="403"/>
      <c r="S123" s="403"/>
      <c r="T123" s="403"/>
      <c r="U123" s="403"/>
      <c r="V123" s="403"/>
      <c r="W123" s="403"/>
      <c r="X123" s="403"/>
      <c r="Y123" s="403"/>
      <c r="Z123" s="403"/>
      <c r="AA123" s="403"/>
      <c r="AB123" s="403"/>
      <c r="AC123" s="403"/>
      <c r="AD123" s="403"/>
      <c r="AE123" s="403"/>
      <c r="AF123" s="403"/>
    </row>
    <row r="124" spans="1:32">
      <c r="A124" s="403"/>
      <c r="B124" s="403"/>
      <c r="C124" s="403"/>
      <c r="D124" s="403"/>
      <c r="E124" s="403"/>
      <c r="F124" s="403"/>
      <c r="G124" s="403"/>
      <c r="H124" s="403"/>
      <c r="I124" s="403"/>
      <c r="J124" s="403"/>
      <c r="K124" s="403"/>
      <c r="L124" s="3"/>
      <c r="M124" s="403"/>
      <c r="N124" s="403"/>
      <c r="O124" s="403"/>
      <c r="P124" s="403"/>
      <c r="Q124" s="403"/>
      <c r="R124" s="403"/>
      <c r="S124" s="403"/>
      <c r="T124" s="403"/>
      <c r="U124" s="403"/>
      <c r="V124" s="403"/>
      <c r="W124" s="403"/>
      <c r="X124" s="403"/>
      <c r="Y124" s="403"/>
      <c r="Z124" s="403"/>
      <c r="AA124" s="403"/>
      <c r="AB124" s="403"/>
      <c r="AC124" s="403"/>
      <c r="AD124" s="403"/>
      <c r="AE124" s="403"/>
      <c r="AF124" s="403"/>
    </row>
    <row r="125" spans="1:32">
      <c r="A125" s="403"/>
      <c r="B125" s="403"/>
      <c r="C125" s="403"/>
      <c r="D125" s="403"/>
      <c r="E125" s="403"/>
      <c r="F125" s="403"/>
      <c r="G125" s="403"/>
      <c r="H125" s="403"/>
      <c r="I125" s="403"/>
      <c r="J125" s="403"/>
      <c r="K125" s="403"/>
      <c r="L125" s="3"/>
      <c r="M125" s="403"/>
      <c r="N125" s="403"/>
      <c r="O125" s="403"/>
      <c r="P125" s="403"/>
      <c r="Q125" s="403"/>
      <c r="R125" s="403"/>
      <c r="S125" s="403"/>
      <c r="T125" s="403"/>
      <c r="U125" s="403"/>
      <c r="V125" s="403"/>
      <c r="W125" s="403"/>
      <c r="X125" s="403"/>
      <c r="Y125" s="403"/>
      <c r="Z125" s="403"/>
      <c r="AA125" s="403"/>
      <c r="AB125" s="403"/>
      <c r="AC125" s="403"/>
      <c r="AD125" s="403"/>
      <c r="AE125" s="403"/>
      <c r="AF125" s="403"/>
    </row>
    <row r="126" spans="1:32">
      <c r="A126" s="403"/>
      <c r="B126" s="403"/>
      <c r="C126" s="403"/>
      <c r="D126" s="403"/>
      <c r="E126" s="403"/>
      <c r="F126" s="403"/>
      <c r="G126" s="403"/>
      <c r="H126" s="403"/>
      <c r="I126" s="403"/>
      <c r="J126" s="403"/>
      <c r="K126" s="403"/>
      <c r="L126" s="3"/>
      <c r="M126" s="403"/>
      <c r="N126" s="403"/>
      <c r="O126" s="403"/>
      <c r="P126" s="403"/>
      <c r="Q126" s="403"/>
      <c r="R126" s="403"/>
      <c r="S126" s="403"/>
      <c r="T126" s="403"/>
      <c r="U126" s="403"/>
      <c r="V126" s="403"/>
      <c r="W126" s="403"/>
      <c r="X126" s="403"/>
      <c r="Y126" s="403"/>
      <c r="Z126" s="403"/>
      <c r="AA126" s="403"/>
      <c r="AB126" s="403"/>
      <c r="AC126" s="403"/>
      <c r="AD126" s="403"/>
      <c r="AE126" s="403"/>
      <c r="AF126" s="403"/>
    </row>
    <row r="127" spans="1:32">
      <c r="A127" s="403"/>
      <c r="B127" s="403"/>
      <c r="C127" s="403"/>
      <c r="D127" s="403"/>
      <c r="E127" s="403"/>
      <c r="F127" s="403"/>
      <c r="G127" s="403"/>
      <c r="H127" s="403"/>
      <c r="I127" s="403"/>
      <c r="J127" s="403"/>
      <c r="K127" s="403"/>
      <c r="L127" s="3"/>
      <c r="M127" s="403"/>
      <c r="N127" s="403"/>
      <c r="O127" s="403"/>
      <c r="P127" s="403"/>
      <c r="Q127" s="403"/>
      <c r="R127" s="403"/>
      <c r="S127" s="403"/>
      <c r="T127" s="403"/>
      <c r="U127" s="403"/>
      <c r="V127" s="403"/>
      <c r="W127" s="403"/>
      <c r="X127" s="403"/>
      <c r="Y127" s="403"/>
      <c r="Z127" s="403"/>
      <c r="AA127" s="403"/>
      <c r="AB127" s="403"/>
      <c r="AC127" s="403"/>
      <c r="AD127" s="403"/>
      <c r="AE127" s="403"/>
      <c r="AF127" s="403"/>
    </row>
    <row r="128" spans="1:32">
      <c r="A128" s="403"/>
      <c r="B128" s="403"/>
      <c r="C128" s="403"/>
      <c r="D128" s="403"/>
      <c r="E128" s="403"/>
      <c r="F128" s="403"/>
      <c r="G128" s="403"/>
      <c r="H128" s="403"/>
      <c r="I128" s="403"/>
      <c r="J128" s="403"/>
      <c r="K128" s="403"/>
      <c r="L128" s="3"/>
      <c r="M128" s="403"/>
      <c r="N128" s="403"/>
      <c r="O128" s="403"/>
      <c r="P128" s="403"/>
      <c r="Q128" s="403"/>
      <c r="R128" s="403"/>
      <c r="S128" s="403"/>
      <c r="T128" s="403"/>
      <c r="U128" s="403"/>
      <c r="V128" s="403"/>
      <c r="W128" s="403"/>
      <c r="X128" s="403"/>
      <c r="Y128" s="403"/>
      <c r="Z128" s="403"/>
      <c r="AA128" s="403"/>
      <c r="AB128" s="403"/>
      <c r="AC128" s="403"/>
      <c r="AD128" s="403"/>
      <c r="AE128" s="403"/>
      <c r="AF128" s="403"/>
    </row>
    <row r="129" spans="1:32">
      <c r="A129" s="403"/>
      <c r="B129" s="403"/>
      <c r="C129" s="403"/>
      <c r="D129" s="403"/>
      <c r="E129" s="403"/>
      <c r="F129" s="403"/>
      <c r="G129" s="403"/>
      <c r="H129" s="403"/>
      <c r="I129" s="403"/>
      <c r="J129" s="403"/>
      <c r="K129" s="403"/>
      <c r="L129" s="3"/>
      <c r="M129" s="403"/>
      <c r="N129" s="403"/>
      <c r="O129" s="403"/>
      <c r="P129" s="403"/>
      <c r="Q129" s="403"/>
      <c r="R129" s="403"/>
      <c r="S129" s="403"/>
      <c r="T129" s="403"/>
      <c r="U129" s="403"/>
      <c r="V129" s="403"/>
      <c r="W129" s="403"/>
      <c r="X129" s="403"/>
      <c r="Y129" s="403"/>
      <c r="Z129" s="403"/>
      <c r="AA129" s="403"/>
      <c r="AB129" s="403"/>
      <c r="AC129" s="403"/>
      <c r="AD129" s="403"/>
      <c r="AE129" s="403"/>
      <c r="AF129" s="403"/>
    </row>
    <row r="130" spans="1:32" ht="15" customHeight="1">
      <c r="A130" s="403"/>
      <c r="B130" s="403"/>
      <c r="C130" s="403"/>
      <c r="D130" s="403"/>
      <c r="E130" s="403"/>
      <c r="F130" s="403"/>
      <c r="G130" s="403"/>
      <c r="H130" s="403"/>
      <c r="I130" s="403"/>
      <c r="J130" s="448"/>
      <c r="K130" s="403"/>
      <c r="L130" s="3"/>
      <c r="M130" s="403"/>
      <c r="N130" s="403"/>
      <c r="O130" s="403"/>
      <c r="P130" s="403"/>
      <c r="Q130" s="403"/>
      <c r="R130" s="403"/>
      <c r="S130" s="403"/>
      <c r="T130" s="403"/>
      <c r="U130" s="403"/>
      <c r="V130" s="403"/>
      <c r="W130" s="403"/>
      <c r="X130" s="403"/>
      <c r="Y130" s="403"/>
      <c r="Z130" s="403"/>
      <c r="AA130" s="403"/>
      <c r="AB130" s="403"/>
      <c r="AC130" s="403"/>
      <c r="AD130" s="403"/>
      <c r="AE130" s="403"/>
      <c r="AF130" s="403"/>
    </row>
    <row r="131" spans="1:32">
      <c r="A131" s="403"/>
      <c r="B131" s="403"/>
      <c r="C131" s="403"/>
      <c r="D131" s="403"/>
      <c r="E131" s="403"/>
      <c r="F131" s="403"/>
      <c r="G131" s="403"/>
      <c r="H131" s="403"/>
      <c r="I131" s="403"/>
      <c r="J131" s="403"/>
      <c r="K131" s="403"/>
      <c r="L131" s="3"/>
      <c r="M131" s="403"/>
      <c r="N131" s="403"/>
      <c r="O131" s="403"/>
      <c r="P131" s="403"/>
      <c r="Q131" s="403"/>
      <c r="R131" s="403"/>
      <c r="S131" s="403"/>
      <c r="T131" s="403"/>
      <c r="U131" s="403"/>
      <c r="V131" s="403"/>
      <c r="W131" s="403"/>
      <c r="X131" s="403"/>
      <c r="Y131" s="403"/>
      <c r="Z131" s="403"/>
      <c r="AA131" s="403"/>
      <c r="AB131" s="403"/>
      <c r="AC131" s="403"/>
      <c r="AD131" s="403"/>
      <c r="AE131" s="403"/>
      <c r="AF131" s="403"/>
    </row>
    <row r="132" spans="1:32">
      <c r="A132" s="403"/>
      <c r="B132" s="403"/>
      <c r="C132" s="403"/>
      <c r="D132" s="403"/>
      <c r="E132" s="403"/>
      <c r="F132" s="403"/>
      <c r="G132" s="403"/>
      <c r="H132" s="403"/>
      <c r="I132" s="403"/>
      <c r="J132" s="403"/>
      <c r="K132" s="403"/>
      <c r="L132" s="3"/>
      <c r="M132" s="403"/>
      <c r="N132" s="403"/>
      <c r="O132" s="403"/>
      <c r="P132" s="403"/>
      <c r="Q132" s="403"/>
      <c r="R132" s="403"/>
      <c r="S132" s="403"/>
      <c r="T132" s="403"/>
      <c r="U132" s="403"/>
      <c r="V132" s="403"/>
      <c r="W132" s="403"/>
      <c r="X132" s="403"/>
      <c r="Y132" s="403"/>
      <c r="Z132" s="403"/>
      <c r="AA132" s="403"/>
      <c r="AB132" s="403"/>
      <c r="AC132" s="403"/>
      <c r="AD132" s="403"/>
      <c r="AE132" s="403"/>
      <c r="AF132" s="403"/>
    </row>
    <row r="133" spans="1:32">
      <c r="A133" s="403"/>
      <c r="B133" s="403"/>
      <c r="C133" s="403"/>
      <c r="D133" s="403"/>
      <c r="E133" s="403"/>
      <c r="F133" s="403"/>
      <c r="G133" s="403"/>
      <c r="H133" s="403"/>
      <c r="I133" s="403"/>
      <c r="J133" s="403"/>
      <c r="K133" s="403"/>
      <c r="L133" s="3"/>
      <c r="M133" s="403"/>
      <c r="N133" s="403"/>
      <c r="O133" s="403"/>
      <c r="P133" s="403"/>
      <c r="Q133" s="403"/>
      <c r="R133" s="403"/>
      <c r="S133" s="403"/>
      <c r="T133" s="403"/>
      <c r="U133" s="403"/>
      <c r="V133" s="403"/>
      <c r="W133" s="403"/>
      <c r="X133" s="403"/>
      <c r="Y133" s="403"/>
      <c r="Z133" s="403"/>
      <c r="AA133" s="403"/>
      <c r="AB133" s="403"/>
      <c r="AC133" s="403"/>
      <c r="AD133" s="403"/>
      <c r="AE133" s="403"/>
      <c r="AF133" s="403"/>
    </row>
    <row r="134" spans="1:32">
      <c r="A134" s="403"/>
      <c r="B134" s="403"/>
      <c r="C134" s="403"/>
      <c r="D134" s="403"/>
      <c r="E134" s="403"/>
      <c r="F134" s="403"/>
      <c r="G134" s="403"/>
      <c r="H134" s="403"/>
      <c r="I134" s="403"/>
      <c r="J134" s="403"/>
      <c r="K134" s="403"/>
      <c r="L134" s="3"/>
      <c r="M134" s="403"/>
      <c r="N134" s="403"/>
      <c r="O134" s="403"/>
      <c r="P134" s="403"/>
      <c r="Q134" s="403"/>
      <c r="R134" s="403"/>
      <c r="S134" s="403"/>
      <c r="T134" s="403"/>
      <c r="U134" s="403"/>
      <c r="V134" s="403"/>
      <c r="W134" s="403"/>
      <c r="X134" s="403"/>
      <c r="Y134" s="403"/>
      <c r="Z134" s="403"/>
      <c r="AA134" s="403"/>
      <c r="AB134" s="403"/>
      <c r="AC134" s="403"/>
      <c r="AD134" s="403"/>
      <c r="AE134" s="403"/>
      <c r="AF134" s="403"/>
    </row>
    <row r="135" spans="1:32">
      <c r="A135" s="403"/>
      <c r="B135" s="403"/>
      <c r="C135" s="403"/>
      <c r="D135" s="403"/>
      <c r="E135" s="403"/>
      <c r="F135" s="403"/>
      <c r="G135" s="403"/>
      <c r="H135" s="403"/>
      <c r="I135" s="403"/>
      <c r="J135" s="403"/>
      <c r="K135" s="403"/>
      <c r="L135" s="3"/>
      <c r="M135" s="403"/>
      <c r="N135" s="403"/>
      <c r="O135" s="403"/>
      <c r="P135" s="403"/>
      <c r="Q135" s="403"/>
      <c r="R135" s="403"/>
      <c r="S135" s="403"/>
      <c r="T135" s="403"/>
      <c r="U135" s="403"/>
      <c r="V135" s="403"/>
      <c r="W135" s="403"/>
      <c r="X135" s="403"/>
      <c r="Y135" s="403"/>
      <c r="Z135" s="403"/>
      <c r="AA135" s="403"/>
      <c r="AB135" s="403"/>
      <c r="AC135" s="403"/>
      <c r="AD135" s="403"/>
      <c r="AE135" s="403"/>
      <c r="AF135" s="403"/>
    </row>
    <row r="136" spans="1:32">
      <c r="A136" s="403"/>
      <c r="B136" s="403"/>
      <c r="C136" s="403"/>
      <c r="D136" s="403"/>
      <c r="E136" s="403"/>
      <c r="F136" s="403"/>
      <c r="G136" s="403"/>
      <c r="H136" s="403"/>
      <c r="I136" s="403"/>
      <c r="J136" s="403"/>
      <c r="K136" s="403"/>
      <c r="L136" s="3"/>
      <c r="M136" s="403"/>
      <c r="N136" s="403"/>
      <c r="O136" s="403"/>
      <c r="P136" s="403"/>
      <c r="Q136" s="403"/>
      <c r="R136" s="403"/>
      <c r="S136" s="403"/>
      <c r="T136" s="403"/>
      <c r="U136" s="403"/>
      <c r="V136" s="403"/>
      <c r="W136" s="403"/>
      <c r="X136" s="403"/>
      <c r="Y136" s="403"/>
      <c r="Z136" s="403"/>
      <c r="AA136" s="403"/>
      <c r="AB136" s="403"/>
      <c r="AC136" s="403"/>
      <c r="AD136" s="403"/>
      <c r="AE136" s="403"/>
      <c r="AF136" s="403"/>
    </row>
    <row r="137" spans="1:32">
      <c r="A137" s="403"/>
      <c r="B137" s="403"/>
      <c r="C137" s="403"/>
      <c r="D137" s="403"/>
      <c r="E137" s="403"/>
      <c r="F137" s="403"/>
      <c r="G137" s="403"/>
      <c r="H137" s="403"/>
      <c r="I137" s="403"/>
      <c r="J137" s="403"/>
      <c r="K137" s="403"/>
      <c r="L137" s="3"/>
      <c r="M137" s="403"/>
      <c r="N137" s="403"/>
      <c r="O137" s="403"/>
      <c r="P137" s="403"/>
      <c r="Q137" s="403"/>
      <c r="R137" s="403"/>
      <c r="S137" s="403"/>
      <c r="T137" s="403"/>
      <c r="U137" s="403"/>
      <c r="V137" s="403"/>
      <c r="W137" s="403"/>
      <c r="X137" s="403"/>
      <c r="Y137" s="403"/>
      <c r="Z137" s="403"/>
      <c r="AA137" s="403"/>
      <c r="AB137" s="403"/>
      <c r="AC137" s="403"/>
      <c r="AD137" s="403"/>
      <c r="AE137" s="403"/>
      <c r="AF137" s="403"/>
    </row>
    <row r="145" ht="15" customHeight="1"/>
  </sheetData>
  <sheetProtection selectLockedCells="1"/>
  <mergeCells count="1">
    <mergeCell ref="G1:I2"/>
  </mergeCells>
  <conditionalFormatting sqref="B39:E39">
    <cfRule type="expression" dxfId="22" priority="5">
      <formula>$K$10=TRUE</formula>
    </cfRule>
    <cfRule type="expression" dxfId="21" priority="6">
      <formula>$M$7=TRUE</formula>
    </cfRule>
  </conditionalFormatting>
  <conditionalFormatting sqref="B40:D40">
    <cfRule type="expression" dxfId="20" priority="4">
      <formula>$K$7=TRUE</formula>
    </cfRule>
  </conditionalFormatting>
  <conditionalFormatting sqref="B39:E39 B40:D40">
    <cfRule type="expression" dxfId="19" priority="3">
      <formula>$K$21=TRUE</formula>
    </cfRule>
  </conditionalFormatting>
  <conditionalFormatting sqref="B39:K40">
    <cfRule type="expression" dxfId="18" priority="2">
      <formula>$L$40=TRUE</formula>
    </cfRule>
  </conditionalFormatting>
  <conditionalFormatting sqref="A42:J52">
    <cfRule type="expression" dxfId="17" priority="1">
      <formula>$L$41=TRUE</formula>
    </cfRule>
  </conditionalFormatting>
  <dataValidations xWindow="349" yWindow="396" count="15">
    <dataValidation type="list" allowBlank="1" showInputMessage="1" showErrorMessage="1" sqref="E4 E28 E16 E22 E6 E10 E35 E24 E12 E18 E30 E40">
      <formula1>ano_ne</formula1>
    </dataValidation>
    <dataValidation type="whole" allowBlank="1" showInputMessage="1" showErrorMessage="1" sqref="E37">
      <formula1>0</formula1>
      <formula2>24</formula2>
    </dataValidation>
    <dataValidation type="whole" allowBlank="1" showInputMessage="1" showErrorMessage="1" sqref="E36">
      <formula1>0</formula1>
      <formula2>100000000</formula2>
    </dataValidation>
    <dataValidation type="whole" allowBlank="1" showInputMessage="1" showErrorMessage="1" prompt="40-1000 W" sqref="E8">
      <formula1>40</formula1>
      <formula2>1000</formula2>
    </dataValidation>
    <dataValidation type="whole" allowBlank="1" showInputMessage="1" showErrorMessage="1" prompt="30-500 W" sqref="E14">
      <formula1>30</formula1>
      <formula2>500</formula2>
    </dataValidation>
    <dataValidation type="whole" allowBlank="1" showInputMessage="1" showErrorMessage="1" prompt="4-500 W" sqref="E20">
      <formula1>4</formula1>
      <formula2>500</formula2>
    </dataValidation>
    <dataValidation type="whole" allowBlank="1" showInputMessage="1" showErrorMessage="1" prompt="5-500 W" sqref="E32">
      <formula1>5</formula1>
      <formula2>500</formula2>
    </dataValidation>
    <dataValidation allowBlank="1" showErrorMessage="1" prompt="40-500 W" sqref="D9"/>
    <dataValidation type="whole" allowBlank="1" showInputMessage="1" showErrorMessage="1" sqref="E13 E7 E19 E25 E31">
      <formula1>0</formula1>
      <formula2>10000000</formula2>
    </dataValidation>
    <dataValidation type="whole" operator="greaterThan" allowBlank="1" showErrorMessage="1" prompt="0-500 kusů" sqref="E5 E23 E11 E17 E29">
      <formula1>0</formula1>
    </dataValidation>
    <dataValidation allowBlank="1" showErrorMessage="1" prompt="30-500 W" sqref="D15"/>
    <dataValidation allowBlank="1" showErrorMessage="1" prompt="4-500 W" sqref="D21"/>
    <dataValidation allowBlank="1" showErrorMessage="1" prompt="5-500 W" sqref="D27"/>
    <dataValidation type="whole" allowBlank="1" showInputMessage="1" showErrorMessage="1" prompt="7-500 W" sqref="E26">
      <formula1>7</formula1>
      <formula2>500</formula2>
    </dataValidation>
    <dataValidation type="whole" allowBlank="1" showInputMessage="1" showErrorMessage="1" sqref="E38">
      <formula1>1</formula1>
      <formula2>365</formula2>
    </dataValidation>
  </dataValidations>
  <pageMargins left="0.7" right="0.7" top="0.78740157499999996" bottom="0.78740157499999996" header="0.3" footer="0.3"/>
  <pageSetup paperSize="9"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Button 4">
              <controlPr defaultSize="0" print="0" autoFill="0" autoPict="0" macro="[0]!Button23_Click">
                <anchor moveWithCells="1" sizeWithCells="1">
                  <from>
                    <xdr:col>3</xdr:col>
                    <xdr:colOff>0</xdr:colOff>
                    <xdr:row>0</xdr:row>
                    <xdr:rowOff>85725</xdr:rowOff>
                  </from>
                  <to>
                    <xdr:col>4</xdr:col>
                    <xdr:colOff>38100</xdr:colOff>
                    <xdr:row>1</xdr:row>
                    <xdr:rowOff>76200</xdr:rowOff>
                  </to>
                </anchor>
              </controlPr>
            </control>
          </mc:Choice>
        </mc:AlternateContent>
        <mc:AlternateContent xmlns:mc="http://schemas.openxmlformats.org/markup-compatibility/2006">
          <mc:Choice Requires="x14">
            <control shapeId="13317" r:id="rId5" name="Button 5">
              <controlPr defaultSize="0" print="0" autoFill="0" autoPict="0" macro="[0]!Button23_Click">
                <anchor moveWithCells="1" sizeWithCells="1">
                  <from>
                    <xdr:col>2</xdr:col>
                    <xdr:colOff>0</xdr:colOff>
                    <xdr:row>38</xdr:row>
                    <xdr:rowOff>85725</xdr:rowOff>
                  </from>
                  <to>
                    <xdr:col>2</xdr:col>
                    <xdr:colOff>1247775</xdr:colOff>
                    <xdr:row>38</xdr:row>
                    <xdr:rowOff>409575</xdr:rowOff>
                  </to>
                </anchor>
              </controlPr>
            </control>
          </mc:Choice>
        </mc:AlternateContent>
        <mc:AlternateContent xmlns:mc="http://schemas.openxmlformats.org/markup-compatibility/2006">
          <mc:Choice Requires="x14">
            <control shapeId="13319" r:id="rId6" name="Button 7">
              <controlPr defaultSize="0" print="0" autoFill="0" autoPict="0" macro="[0]!List4.reset_osvetleni">
                <anchor moveWithCells="1" sizeWithCells="1">
                  <from>
                    <xdr:col>6</xdr:col>
                    <xdr:colOff>638175</xdr:colOff>
                    <xdr:row>2</xdr:row>
                    <xdr:rowOff>38100</xdr:rowOff>
                  </from>
                  <to>
                    <xdr:col>7</xdr:col>
                    <xdr:colOff>609600</xdr:colOff>
                    <xdr:row>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49" yWindow="396" count="1">
        <x14:dataValidation type="list" allowBlank="1" showErrorMessage="1" prompt="0-1000">
          <x14:formula1>
            <xm:f>parametry!$A$61:$A$62</xm:f>
          </x14:formula1>
          <xm:sqref>E40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T201"/>
  <sheetViews>
    <sheetView topLeftCell="A71" zoomScale="85" zoomScaleNormal="85" workbookViewId="0">
      <selection activeCell="B105" sqref="B105"/>
    </sheetView>
  </sheetViews>
  <sheetFormatPr defaultColWidth="9.140625" defaultRowHeight="15"/>
  <cols>
    <col min="1" max="1" width="49.85546875" style="20" customWidth="1"/>
    <col min="2" max="2" width="22" style="20" customWidth="1"/>
    <col min="3" max="3" width="12.140625" style="20" customWidth="1"/>
    <col min="4" max="4" width="32.85546875" style="20" customWidth="1"/>
    <col min="5" max="5" width="44.5703125" style="20" bestFit="1" customWidth="1"/>
    <col min="6" max="6" width="20.28515625" style="20" customWidth="1"/>
    <col min="7" max="7" width="23.5703125" style="20" customWidth="1"/>
    <col min="8" max="8" width="24.5703125" style="20" customWidth="1"/>
    <col min="9" max="9" width="28.42578125" style="20" customWidth="1"/>
    <col min="10" max="11" width="18.7109375" style="20" bestFit="1" customWidth="1"/>
    <col min="12" max="12" width="18.5703125" style="20" bestFit="1" customWidth="1"/>
    <col min="13" max="13" width="16.28515625" style="20" customWidth="1"/>
    <col min="14" max="14" width="20.5703125" style="20" customWidth="1"/>
    <col min="15" max="15" width="19" style="20" customWidth="1"/>
    <col min="16" max="16" width="16.42578125" style="20" customWidth="1"/>
    <col min="17" max="18" width="18.5703125" style="20" bestFit="1" customWidth="1"/>
    <col min="19" max="19" width="18.140625" style="20" bestFit="1" customWidth="1"/>
    <col min="20" max="16384" width="9.140625" style="20"/>
  </cols>
  <sheetData>
    <row r="1" spans="1:19">
      <c r="A1" s="20" t="s">
        <v>194</v>
      </c>
      <c r="B1" s="22">
        <v>0.6</v>
      </c>
      <c r="C1" s="20">
        <v>1</v>
      </c>
      <c r="E1" s="231"/>
      <c r="F1" s="231"/>
      <c r="G1" s="256" t="s">
        <v>839</v>
      </c>
      <c r="H1" s="231" t="s">
        <v>875</v>
      </c>
      <c r="I1" s="256" t="s">
        <v>839</v>
      </c>
      <c r="J1" s="231" t="s">
        <v>875</v>
      </c>
      <c r="K1" s="231" t="s">
        <v>892</v>
      </c>
      <c r="L1" s="231" t="s">
        <v>893</v>
      </c>
      <c r="N1" s="20" t="s">
        <v>162</v>
      </c>
      <c r="O1" s="20" t="s">
        <v>163</v>
      </c>
      <c r="P1" s="20" t="s">
        <v>190</v>
      </c>
      <c r="Q1" s="20" t="s">
        <v>184</v>
      </c>
      <c r="R1" s="20" t="s">
        <v>919</v>
      </c>
      <c r="S1" s="20" t="s">
        <v>504</v>
      </c>
    </row>
    <row r="2" spans="1:19">
      <c r="A2" s="20" t="s">
        <v>195</v>
      </c>
      <c r="B2" s="22">
        <v>0.72</v>
      </c>
      <c r="C2" s="20">
        <v>2</v>
      </c>
      <c r="E2" s="226" t="s">
        <v>876</v>
      </c>
      <c r="F2" s="226"/>
      <c r="G2" s="231">
        <v>44.3</v>
      </c>
      <c r="H2" s="231" t="s">
        <v>835</v>
      </c>
      <c r="I2" s="231">
        <f>G2/1000</f>
        <v>4.4299999999999999E-2</v>
      </c>
      <c r="J2" s="231" t="s">
        <v>848</v>
      </c>
      <c r="K2" s="231">
        <v>99.3</v>
      </c>
      <c r="L2" s="231">
        <v>99.2</v>
      </c>
      <c r="N2" s="20" t="s">
        <v>649</v>
      </c>
      <c r="O2" s="20" t="s">
        <v>164</v>
      </c>
      <c r="P2" s="20" t="s">
        <v>168</v>
      </c>
      <c r="Q2" s="20" t="s">
        <v>185</v>
      </c>
      <c r="R2" s="20" t="s">
        <v>164</v>
      </c>
      <c r="S2" s="20" t="s">
        <v>164</v>
      </c>
    </row>
    <row r="3" spans="1:19">
      <c r="A3" s="20" t="s">
        <v>196</v>
      </c>
      <c r="B3" s="22">
        <v>0.77</v>
      </c>
      <c r="C3" s="20">
        <v>3</v>
      </c>
      <c r="E3" s="226" t="s">
        <v>877</v>
      </c>
      <c r="F3" s="226"/>
      <c r="G3" s="231">
        <v>44.3</v>
      </c>
      <c r="H3" s="231" t="s">
        <v>835</v>
      </c>
      <c r="I3" s="231">
        <f t="shared" ref="I3:I5" si="0">G3/1000</f>
        <v>4.4299999999999999E-2</v>
      </c>
      <c r="J3" s="231" t="s">
        <v>848</v>
      </c>
      <c r="K3" s="231">
        <v>99.3</v>
      </c>
      <c r="L3" s="231">
        <v>99.2</v>
      </c>
      <c r="N3" s="20" t="s">
        <v>165</v>
      </c>
      <c r="R3" s="20" t="s">
        <v>649</v>
      </c>
      <c r="S3" s="20" t="s">
        <v>649</v>
      </c>
    </row>
    <row r="4" spans="1:19">
      <c r="A4" s="20" t="s">
        <v>197</v>
      </c>
      <c r="B4" s="22">
        <v>0.79</v>
      </c>
      <c r="C4" s="20">
        <v>4</v>
      </c>
      <c r="E4" s="226" t="s">
        <v>878</v>
      </c>
      <c r="F4" s="226"/>
      <c r="G4" s="231">
        <v>17.2</v>
      </c>
      <c r="H4" s="231" t="s">
        <v>835</v>
      </c>
      <c r="I4" s="231">
        <f t="shared" si="0"/>
        <v>1.72E-2</v>
      </c>
      <c r="J4" s="231" t="s">
        <v>848</v>
      </c>
      <c r="K4" s="231">
        <v>99.9</v>
      </c>
      <c r="L4" s="231">
        <v>99.8</v>
      </c>
      <c r="N4" s="20" t="s">
        <v>166</v>
      </c>
      <c r="R4" s="20" t="s">
        <v>165</v>
      </c>
      <c r="S4" s="20" t="s">
        <v>165</v>
      </c>
    </row>
    <row r="5" spans="1:19">
      <c r="A5" s="20" t="s">
        <v>198</v>
      </c>
      <c r="B5" s="22">
        <v>0.65</v>
      </c>
      <c r="C5" s="20">
        <v>5</v>
      </c>
      <c r="E5" s="226" t="s">
        <v>879</v>
      </c>
      <c r="F5" s="226"/>
      <c r="G5" s="231">
        <v>2.2400000000000002</v>
      </c>
      <c r="H5" s="231" t="s">
        <v>835</v>
      </c>
      <c r="I5" s="231">
        <f t="shared" si="0"/>
        <v>2.2400000000000002E-3</v>
      </c>
      <c r="J5" s="231" t="s">
        <v>848</v>
      </c>
      <c r="K5" s="231">
        <v>98.1</v>
      </c>
      <c r="L5" s="231">
        <v>94.1</v>
      </c>
      <c r="N5" s="20" t="s">
        <v>167</v>
      </c>
      <c r="R5" s="20" t="s">
        <v>166</v>
      </c>
      <c r="S5" s="20" t="s">
        <v>166</v>
      </c>
    </row>
    <row r="6" spans="1:19">
      <c r="A6" s="20" t="s">
        <v>199</v>
      </c>
      <c r="B6" s="22">
        <v>0.8</v>
      </c>
      <c r="C6" s="20">
        <v>6</v>
      </c>
      <c r="E6" s="226" t="s">
        <v>880</v>
      </c>
      <c r="F6" s="226"/>
      <c r="G6" s="231">
        <v>67.7</v>
      </c>
      <c r="H6" s="231" t="s">
        <v>835</v>
      </c>
      <c r="I6" s="231">
        <f>G6/1000</f>
        <v>6.7699999999999996E-2</v>
      </c>
      <c r="J6" s="231" t="s">
        <v>848</v>
      </c>
      <c r="K6" s="231">
        <v>99.7</v>
      </c>
      <c r="L6" s="231">
        <v>99</v>
      </c>
      <c r="R6" s="20" t="s">
        <v>167</v>
      </c>
      <c r="S6" s="20" t="s">
        <v>167</v>
      </c>
    </row>
    <row r="7" spans="1:19">
      <c r="A7" s="20" t="s">
        <v>200</v>
      </c>
      <c r="B7" s="22">
        <v>0.85</v>
      </c>
      <c r="C7" s="20">
        <v>7</v>
      </c>
      <c r="E7" s="226" t="s">
        <v>881</v>
      </c>
      <c r="F7" s="226"/>
      <c r="G7" s="231">
        <v>67.7</v>
      </c>
      <c r="H7" s="231" t="s">
        <v>835</v>
      </c>
      <c r="I7" s="231">
        <f t="shared" ref="I7:I9" si="1">G7/1000</f>
        <v>6.7699999999999996E-2</v>
      </c>
      <c r="J7" s="231" t="s">
        <v>848</v>
      </c>
      <c r="K7" s="231">
        <v>99.7</v>
      </c>
      <c r="L7" s="231">
        <v>99</v>
      </c>
      <c r="R7" s="20" t="s">
        <v>168</v>
      </c>
      <c r="S7" s="20" t="s">
        <v>168</v>
      </c>
    </row>
    <row r="8" spans="1:19">
      <c r="A8" s="20" t="s">
        <v>201</v>
      </c>
      <c r="B8" s="22">
        <v>0.92</v>
      </c>
      <c r="C8" s="20">
        <v>8</v>
      </c>
      <c r="E8" s="226" t="s">
        <v>882</v>
      </c>
      <c r="F8" s="226"/>
      <c r="G8" s="231">
        <v>6.94</v>
      </c>
      <c r="H8" s="231" t="s">
        <v>835</v>
      </c>
      <c r="I8" s="231">
        <f t="shared" si="1"/>
        <v>6.94E-3</v>
      </c>
      <c r="J8" s="231" t="s">
        <v>848</v>
      </c>
      <c r="K8" s="231">
        <v>99.4</v>
      </c>
      <c r="L8" s="231">
        <v>96.9</v>
      </c>
      <c r="R8" s="20" t="s">
        <v>185</v>
      </c>
      <c r="S8" s="20" t="s">
        <v>185</v>
      </c>
    </row>
    <row r="9" spans="1:19">
      <c r="A9" s="20" t="s">
        <v>202</v>
      </c>
      <c r="B9" s="22">
        <v>0.95</v>
      </c>
      <c r="C9" s="20">
        <v>9</v>
      </c>
      <c r="E9" s="226" t="s">
        <v>883</v>
      </c>
      <c r="F9" s="226"/>
      <c r="G9" s="231">
        <v>2.25</v>
      </c>
      <c r="H9" s="231" t="s">
        <v>835</v>
      </c>
      <c r="I9" s="231">
        <f t="shared" si="1"/>
        <v>2.2499999999999998E-3</v>
      </c>
      <c r="J9" s="231" t="s">
        <v>848</v>
      </c>
      <c r="K9" s="231">
        <v>99.8</v>
      </c>
      <c r="L9" s="231">
        <v>98.1</v>
      </c>
    </row>
    <row r="10" spans="1:19">
      <c r="A10" s="20" t="s">
        <v>203</v>
      </c>
      <c r="B10" s="22">
        <v>0.95</v>
      </c>
      <c r="C10" s="20">
        <v>10</v>
      </c>
      <c r="E10" s="226" t="s">
        <v>884</v>
      </c>
      <c r="F10" s="231"/>
      <c r="G10" s="231">
        <v>7.22</v>
      </c>
      <c r="H10" s="231" t="s">
        <v>835</v>
      </c>
      <c r="I10" s="231">
        <f>G10/1000</f>
        <v>7.2199999999999999E-3</v>
      </c>
      <c r="J10" s="231" t="s">
        <v>848</v>
      </c>
      <c r="K10" s="231">
        <v>99.8</v>
      </c>
      <c r="L10" s="231">
        <v>99.5</v>
      </c>
    </row>
    <row r="11" spans="1:19">
      <c r="A11" s="20" t="s">
        <v>204</v>
      </c>
      <c r="B11" s="22">
        <v>0.95</v>
      </c>
      <c r="C11" s="20">
        <v>11</v>
      </c>
      <c r="E11" s="226" t="s">
        <v>885</v>
      </c>
      <c r="F11" s="231"/>
      <c r="G11" s="231">
        <v>7.22</v>
      </c>
      <c r="H11" s="231" t="s">
        <v>835</v>
      </c>
      <c r="I11" s="231">
        <f t="shared" ref="I11:I13" si="2">G11/1000</f>
        <v>7.2199999999999999E-3</v>
      </c>
      <c r="J11" s="231" t="s">
        <v>848</v>
      </c>
      <c r="K11" s="231">
        <v>99.8</v>
      </c>
      <c r="L11" s="231">
        <v>99.5</v>
      </c>
    </row>
    <row r="12" spans="1:19">
      <c r="A12" s="20" t="s">
        <v>205</v>
      </c>
      <c r="B12" s="22">
        <v>0.98</v>
      </c>
      <c r="C12" s="20">
        <v>12</v>
      </c>
      <c r="E12" s="226" t="s">
        <v>886</v>
      </c>
      <c r="F12" s="231"/>
      <c r="G12" s="231">
        <v>5.78</v>
      </c>
      <c r="H12" s="231" t="s">
        <v>835</v>
      </c>
      <c r="I12" s="231">
        <f t="shared" si="2"/>
        <v>5.7800000000000004E-3</v>
      </c>
      <c r="J12" s="231" t="s">
        <v>848</v>
      </c>
      <c r="K12" s="231">
        <v>99.8</v>
      </c>
      <c r="L12" s="231">
        <v>99.3</v>
      </c>
    </row>
    <row r="13" spans="1:19">
      <c r="A13" s="20" t="s">
        <v>206</v>
      </c>
      <c r="B13" s="22">
        <v>0.6</v>
      </c>
      <c r="C13" s="20">
        <v>13</v>
      </c>
      <c r="E13" s="226" t="s">
        <v>887</v>
      </c>
      <c r="F13" s="231"/>
      <c r="G13" s="231">
        <v>2.12</v>
      </c>
      <c r="H13" s="231" t="s">
        <v>835</v>
      </c>
      <c r="I13" s="231">
        <f t="shared" si="2"/>
        <v>2.1199999999999999E-3</v>
      </c>
      <c r="J13" s="231" t="s">
        <v>848</v>
      </c>
      <c r="K13" s="231">
        <v>99.8</v>
      </c>
      <c r="L13" s="231">
        <v>99.1</v>
      </c>
    </row>
    <row r="14" spans="1:19">
      <c r="A14" s="20" t="s">
        <v>207</v>
      </c>
      <c r="B14" s="22">
        <v>0.72</v>
      </c>
      <c r="C14" s="20">
        <v>14</v>
      </c>
      <c r="E14" s="226" t="s">
        <v>888</v>
      </c>
      <c r="F14" s="226"/>
      <c r="G14" s="231">
        <v>7.22</v>
      </c>
      <c r="H14" s="231" t="s">
        <v>835</v>
      </c>
      <c r="I14" s="231">
        <f>G14/1000</f>
        <v>7.2199999999999999E-3</v>
      </c>
      <c r="J14" s="231" t="s">
        <v>848</v>
      </c>
      <c r="K14" s="231">
        <v>99.8</v>
      </c>
      <c r="L14" s="231">
        <v>98.8</v>
      </c>
    </row>
    <row r="15" spans="1:19">
      <c r="A15" s="20" t="s">
        <v>208</v>
      </c>
      <c r="B15" s="22">
        <v>0.77</v>
      </c>
      <c r="C15" s="20">
        <v>15</v>
      </c>
      <c r="E15" s="226" t="s">
        <v>889</v>
      </c>
      <c r="F15" s="226"/>
      <c r="G15" s="231">
        <v>7.22</v>
      </c>
      <c r="H15" s="231" t="s">
        <v>835</v>
      </c>
      <c r="I15" s="231">
        <f t="shared" ref="I15:I17" si="3">G15/1000</f>
        <v>7.2199999999999999E-3</v>
      </c>
      <c r="J15" s="231" t="s">
        <v>848</v>
      </c>
      <c r="K15" s="231">
        <v>99.8</v>
      </c>
      <c r="L15" s="231">
        <v>98.8</v>
      </c>
    </row>
    <row r="16" spans="1:19">
      <c r="A16" s="20" t="s">
        <v>209</v>
      </c>
      <c r="B16" s="22">
        <v>0.79</v>
      </c>
      <c r="C16" s="20">
        <v>16</v>
      </c>
      <c r="E16" s="226" t="s">
        <v>890</v>
      </c>
      <c r="F16" s="226"/>
      <c r="G16" s="231">
        <v>5.78</v>
      </c>
      <c r="H16" s="231" t="s">
        <v>835</v>
      </c>
      <c r="I16" s="231">
        <f t="shared" si="3"/>
        <v>5.7800000000000004E-3</v>
      </c>
      <c r="J16" s="231" t="s">
        <v>848</v>
      </c>
      <c r="K16" s="231">
        <v>99.8</v>
      </c>
      <c r="L16" s="231">
        <v>98.8</v>
      </c>
    </row>
    <row r="17" spans="1:12">
      <c r="A17" s="20" t="s">
        <v>781</v>
      </c>
      <c r="B17" s="221">
        <v>1</v>
      </c>
      <c r="C17" s="222">
        <v>17</v>
      </c>
      <c r="E17" s="226" t="s">
        <v>891</v>
      </c>
      <c r="F17" s="226"/>
      <c r="G17" s="231">
        <v>2.12</v>
      </c>
      <c r="H17" s="231" t="s">
        <v>835</v>
      </c>
      <c r="I17" s="231">
        <f t="shared" si="3"/>
        <v>2.1199999999999999E-3</v>
      </c>
      <c r="J17" s="231" t="s">
        <v>848</v>
      </c>
      <c r="K17" s="231">
        <v>99.8</v>
      </c>
      <c r="L17" s="231">
        <v>98.8</v>
      </c>
    </row>
    <row r="18" spans="1:12">
      <c r="A18" s="20" t="s">
        <v>782</v>
      </c>
      <c r="B18" s="221">
        <v>1</v>
      </c>
      <c r="C18" s="222">
        <v>18</v>
      </c>
      <c r="E18" s="4"/>
      <c r="F18" s="4"/>
      <c r="G18" s="4"/>
      <c r="H18" s="4"/>
      <c r="I18" s="4"/>
      <c r="J18" s="4"/>
      <c r="K18" s="4"/>
      <c r="L18" s="4"/>
    </row>
    <row r="19" spans="1:12">
      <c r="A19" s="20" t="s">
        <v>783</v>
      </c>
      <c r="B19" s="221">
        <v>1</v>
      </c>
      <c r="C19" s="222">
        <v>19</v>
      </c>
      <c r="E19" s="4"/>
      <c r="F19" s="4"/>
      <c r="G19" s="4"/>
      <c r="H19" s="4"/>
      <c r="I19" s="4"/>
      <c r="J19" s="4"/>
      <c r="K19" s="4"/>
      <c r="L19" s="4"/>
    </row>
    <row r="20" spans="1:12">
      <c r="A20" s="20" t="s">
        <v>784</v>
      </c>
      <c r="B20" s="221">
        <v>1</v>
      </c>
      <c r="C20" s="222">
        <v>20</v>
      </c>
      <c r="E20" s="4"/>
      <c r="F20" s="4"/>
      <c r="G20" s="4"/>
      <c r="H20" s="4"/>
      <c r="I20" s="4"/>
      <c r="J20" s="4"/>
      <c r="K20" s="4"/>
      <c r="L20" s="4"/>
    </row>
    <row r="21" spans="1:12">
      <c r="A21" s="20" t="s">
        <v>920</v>
      </c>
      <c r="B21" s="221">
        <v>1.5</v>
      </c>
      <c r="C21" s="222">
        <v>21</v>
      </c>
      <c r="E21" s="4"/>
      <c r="F21" s="4"/>
      <c r="G21" s="4"/>
      <c r="H21" s="4"/>
      <c r="I21" s="4"/>
      <c r="J21" s="4"/>
      <c r="K21" s="4"/>
      <c r="L21" s="4"/>
    </row>
    <row r="22" spans="1:12">
      <c r="A22" s="20" t="s">
        <v>921</v>
      </c>
      <c r="B22" s="221">
        <v>2</v>
      </c>
      <c r="C22" s="222">
        <v>22</v>
      </c>
      <c r="E22" s="4"/>
      <c r="F22" s="4"/>
      <c r="G22" s="4"/>
      <c r="H22" s="4"/>
      <c r="I22" s="4"/>
      <c r="J22" s="4"/>
      <c r="K22" s="4"/>
      <c r="L22" s="4"/>
    </row>
    <row r="23" spans="1:12">
      <c r="A23" s="20" t="s">
        <v>922</v>
      </c>
      <c r="B23" s="221">
        <v>2.5</v>
      </c>
      <c r="C23" s="222">
        <v>23</v>
      </c>
      <c r="E23" s="4"/>
      <c r="F23" s="4"/>
      <c r="G23" s="4"/>
      <c r="H23" s="4"/>
      <c r="I23" s="4"/>
      <c r="J23" s="4"/>
      <c r="K23" s="4"/>
      <c r="L23" s="4"/>
    </row>
    <row r="24" spans="1:12">
      <c r="A24" s="20" t="s">
        <v>923</v>
      </c>
      <c r="B24" s="221">
        <v>3</v>
      </c>
      <c r="C24" s="222">
        <v>24</v>
      </c>
      <c r="E24" s="4"/>
      <c r="F24" s="4"/>
      <c r="G24" s="4"/>
      <c r="H24" s="4"/>
      <c r="I24" s="4"/>
      <c r="J24" s="4"/>
      <c r="K24" s="4"/>
      <c r="L24" s="4"/>
    </row>
    <row r="26" spans="1:12">
      <c r="A26" s="137" t="s">
        <v>211</v>
      </c>
      <c r="D26" s="20" t="s">
        <v>19</v>
      </c>
      <c r="E26" s="20">
        <v>1</v>
      </c>
    </row>
    <row r="27" spans="1:12">
      <c r="A27" s="137" t="s">
        <v>212</v>
      </c>
      <c r="B27" s="23"/>
      <c r="D27" s="20" t="s">
        <v>20</v>
      </c>
      <c r="E27" s="20">
        <v>2</v>
      </c>
    </row>
    <row r="28" spans="1:12">
      <c r="A28" s="137" t="s">
        <v>213</v>
      </c>
      <c r="B28" s="23"/>
      <c r="D28" s="20" t="s">
        <v>21</v>
      </c>
      <c r="E28" s="20">
        <v>3</v>
      </c>
    </row>
    <row r="29" spans="1:12">
      <c r="A29" s="137" t="s">
        <v>214</v>
      </c>
      <c r="B29" s="23"/>
      <c r="D29" s="20" t="s">
        <v>22</v>
      </c>
      <c r="E29" s="20">
        <v>4</v>
      </c>
    </row>
    <row r="30" spans="1:12">
      <c r="D30" s="20" t="s">
        <v>23</v>
      </c>
      <c r="E30" s="20">
        <v>5</v>
      </c>
    </row>
    <row r="31" spans="1:12">
      <c r="D31" s="20" t="s">
        <v>24</v>
      </c>
      <c r="E31" s="20">
        <v>6</v>
      </c>
    </row>
    <row r="32" spans="1:12">
      <c r="A32" s="24" t="s">
        <v>15</v>
      </c>
    </row>
    <row r="33" spans="1:12">
      <c r="A33" s="24"/>
      <c r="B33" s="20" t="s">
        <v>16</v>
      </c>
      <c r="D33" s="20" t="s">
        <v>497</v>
      </c>
      <c r="E33" s="137" t="s">
        <v>895</v>
      </c>
    </row>
    <row r="34" spans="1:12">
      <c r="A34" s="20" t="s">
        <v>162</v>
      </c>
      <c r="B34" s="22">
        <v>0.6</v>
      </c>
      <c r="C34" s="20">
        <v>1</v>
      </c>
      <c r="D34" s="26" t="s">
        <v>789</v>
      </c>
      <c r="E34" s="137" t="e">
        <f>VLOOKUP(Zateplení!F13,parametry!A34:D39,3,0)</f>
        <v>#N/A</v>
      </c>
    </row>
    <row r="35" spans="1:12">
      <c r="A35" s="20" t="s">
        <v>163</v>
      </c>
      <c r="B35" s="22">
        <v>0.89</v>
      </c>
      <c r="C35" s="20">
        <v>2</v>
      </c>
      <c r="D35" s="26" t="s">
        <v>790</v>
      </c>
      <c r="E35" s="137" t="e">
        <f>VLOOKUP(E34,C34:D39,2,0)</f>
        <v>#N/A</v>
      </c>
    </row>
    <row r="36" spans="1:12">
      <c r="A36" s="20" t="s">
        <v>190</v>
      </c>
      <c r="B36" s="22">
        <v>0.98</v>
      </c>
      <c r="C36" s="20">
        <v>4</v>
      </c>
      <c r="D36" s="26" t="s">
        <v>791</v>
      </c>
    </row>
    <row r="37" spans="1:12">
      <c r="A37" s="20" t="s">
        <v>184</v>
      </c>
      <c r="B37" s="22">
        <v>0.87</v>
      </c>
      <c r="C37" s="20">
        <v>3</v>
      </c>
      <c r="D37" s="26" t="s">
        <v>792</v>
      </c>
    </row>
    <row r="38" spans="1:12">
      <c r="A38" s="20" t="s">
        <v>919</v>
      </c>
      <c r="B38" s="22">
        <v>2.7</v>
      </c>
      <c r="C38" s="20">
        <v>5</v>
      </c>
      <c r="D38" s="26" t="s">
        <v>791</v>
      </c>
    </row>
    <row r="39" spans="1:12">
      <c r="A39" s="20" t="s">
        <v>504</v>
      </c>
      <c r="B39" s="22">
        <v>1</v>
      </c>
      <c r="C39" s="20">
        <v>6</v>
      </c>
      <c r="D39" s="26" t="s">
        <v>897</v>
      </c>
    </row>
    <row r="41" spans="1:12">
      <c r="A41" s="227" t="s">
        <v>14</v>
      </c>
      <c r="B41" s="228"/>
      <c r="C41" s="228"/>
      <c r="D41" s="228"/>
      <c r="E41" s="228"/>
      <c r="F41" s="228"/>
      <c r="G41" s="228"/>
      <c r="H41" s="228"/>
      <c r="I41" s="228"/>
    </row>
    <row r="42" spans="1:12">
      <c r="A42" s="227"/>
      <c r="B42" s="228" t="s">
        <v>16</v>
      </c>
      <c r="C42" s="228"/>
      <c r="D42" s="228" t="s">
        <v>497</v>
      </c>
      <c r="E42" s="228"/>
      <c r="F42" s="228"/>
      <c r="G42" s="228"/>
      <c r="H42" s="228"/>
      <c r="I42" s="228"/>
      <c r="J42" s="25"/>
      <c r="K42" s="25"/>
      <c r="L42" s="25"/>
    </row>
    <row r="43" spans="1:12">
      <c r="A43" s="228" t="s">
        <v>491</v>
      </c>
      <c r="B43" s="229">
        <v>0.8</v>
      </c>
      <c r="C43" s="228">
        <v>1</v>
      </c>
      <c r="D43" s="228" t="s">
        <v>165</v>
      </c>
      <c r="E43" s="228"/>
      <c r="F43" s="228"/>
      <c r="G43" s="228"/>
      <c r="H43" s="228"/>
      <c r="I43" s="228"/>
      <c r="J43" s="25"/>
      <c r="K43" s="25"/>
      <c r="L43" s="26"/>
    </row>
    <row r="44" spans="1:12">
      <c r="A44" s="228" t="s">
        <v>492</v>
      </c>
      <c r="B44" s="229">
        <v>0.8</v>
      </c>
      <c r="C44" s="228">
        <v>2</v>
      </c>
      <c r="D44" s="228" t="s">
        <v>649</v>
      </c>
      <c r="E44" s="228"/>
      <c r="F44" s="228"/>
      <c r="G44" s="228"/>
      <c r="H44" s="228"/>
      <c r="I44" s="228"/>
      <c r="J44" s="25"/>
      <c r="K44" s="25"/>
      <c r="L44" s="26"/>
    </row>
    <row r="45" spans="1:12">
      <c r="A45" s="228" t="s">
        <v>163</v>
      </c>
      <c r="B45" s="229">
        <v>0.92</v>
      </c>
      <c r="C45" s="228">
        <v>3</v>
      </c>
      <c r="D45" s="228" t="s">
        <v>164</v>
      </c>
      <c r="E45" s="228"/>
      <c r="F45" s="228"/>
      <c r="G45" s="228"/>
      <c r="H45" s="228"/>
      <c r="I45" s="228"/>
      <c r="J45" s="25"/>
      <c r="K45" s="25"/>
      <c r="L45" s="25"/>
    </row>
    <row r="46" spans="1:12">
      <c r="A46" s="228" t="s">
        <v>227</v>
      </c>
      <c r="B46" s="229">
        <v>0.81</v>
      </c>
      <c r="C46" s="228">
        <v>4</v>
      </c>
      <c r="D46" s="228" t="s">
        <v>167</v>
      </c>
      <c r="E46" s="228"/>
      <c r="F46" s="228"/>
      <c r="G46" s="228"/>
      <c r="H46" s="228"/>
      <c r="I46" s="228"/>
      <c r="J46" s="25"/>
      <c r="K46" s="25"/>
      <c r="L46" s="25"/>
    </row>
    <row r="47" spans="1:12">
      <c r="A47" s="228" t="s">
        <v>919</v>
      </c>
      <c r="B47" s="230">
        <v>3</v>
      </c>
      <c r="C47" s="228">
        <v>3</v>
      </c>
      <c r="D47" s="228" t="s">
        <v>168</v>
      </c>
      <c r="E47" s="174"/>
      <c r="F47" s="174"/>
      <c r="G47" s="174"/>
      <c r="H47" s="228"/>
      <c r="I47" s="228"/>
      <c r="J47" s="25"/>
      <c r="K47" s="25"/>
      <c r="L47" s="25"/>
    </row>
    <row r="48" spans="1:12">
      <c r="B48" s="22"/>
      <c r="G48" s="25"/>
      <c r="H48" s="25"/>
      <c r="I48" s="25"/>
    </row>
    <row r="49" spans="1:18">
      <c r="A49" s="232">
        <v>1</v>
      </c>
      <c r="B49" s="232">
        <v>2</v>
      </c>
      <c r="C49" s="232">
        <v>3</v>
      </c>
      <c r="D49" s="232">
        <v>4</v>
      </c>
      <c r="E49" s="232">
        <v>5</v>
      </c>
      <c r="F49" s="232">
        <v>6</v>
      </c>
      <c r="G49" s="232">
        <v>7</v>
      </c>
      <c r="H49" s="232">
        <v>8</v>
      </c>
      <c r="I49" s="232">
        <v>9</v>
      </c>
      <c r="J49" s="232">
        <v>10</v>
      </c>
      <c r="K49" s="232">
        <v>11</v>
      </c>
      <c r="L49" s="232">
        <v>12</v>
      </c>
      <c r="M49" s="232">
        <v>13</v>
      </c>
      <c r="N49" s="232">
        <v>14</v>
      </c>
      <c r="O49" s="232">
        <v>15</v>
      </c>
      <c r="P49" s="232"/>
      <c r="Q49" s="232"/>
      <c r="R49" s="232"/>
    </row>
    <row r="50" spans="1:18">
      <c r="A50" s="24" t="s">
        <v>473</v>
      </c>
      <c r="I50" s="27"/>
      <c r="J50" s="226" t="s">
        <v>839</v>
      </c>
      <c r="K50" s="226"/>
      <c r="L50" s="226"/>
      <c r="M50" s="226" t="s">
        <v>839</v>
      </c>
      <c r="N50" s="226" t="s">
        <v>840</v>
      </c>
      <c r="O50" s="226" t="s">
        <v>841</v>
      </c>
    </row>
    <row r="51" spans="1:18">
      <c r="A51" s="24"/>
      <c r="C51" s="20" t="s">
        <v>17</v>
      </c>
      <c r="E51" s="20" t="s">
        <v>467</v>
      </c>
      <c r="G51" s="20" t="s">
        <v>469</v>
      </c>
      <c r="J51" s="226"/>
      <c r="K51" s="226"/>
      <c r="L51" s="226"/>
      <c r="M51" s="226"/>
      <c r="N51" s="226" t="s">
        <v>842</v>
      </c>
      <c r="O51" s="226" t="s">
        <v>842</v>
      </c>
    </row>
    <row r="52" spans="1:18" ht="17.25">
      <c r="A52" s="20" t="s">
        <v>164</v>
      </c>
      <c r="B52" s="20" t="s">
        <v>234</v>
      </c>
      <c r="C52" s="20">
        <v>3.4000000000000002E-2</v>
      </c>
      <c r="D52" s="20" t="s">
        <v>18</v>
      </c>
      <c r="E52" s="20">
        <v>55.4</v>
      </c>
      <c r="F52" s="20" t="s">
        <v>468</v>
      </c>
      <c r="G52" s="20">
        <v>10</v>
      </c>
      <c r="H52" s="20" t="s">
        <v>470</v>
      </c>
      <c r="I52" s="32" t="s">
        <v>484</v>
      </c>
      <c r="J52" s="226">
        <v>6.9</v>
      </c>
      <c r="K52" s="226" t="s">
        <v>836</v>
      </c>
      <c r="L52" s="226">
        <f>J52/1000000</f>
        <v>6.9E-6</v>
      </c>
      <c r="M52" s="226" t="s">
        <v>843</v>
      </c>
      <c r="N52" s="226">
        <v>100</v>
      </c>
      <c r="O52" s="226">
        <v>100</v>
      </c>
    </row>
    <row r="53" spans="1:18">
      <c r="A53" s="20" t="s">
        <v>649</v>
      </c>
      <c r="B53" s="20" t="s">
        <v>2</v>
      </c>
      <c r="C53" s="20">
        <v>1.7999999999999999E-2</v>
      </c>
      <c r="D53" s="20" t="s">
        <v>4</v>
      </c>
      <c r="E53" s="127">
        <v>99.1</v>
      </c>
      <c r="F53" s="20" t="s">
        <v>468</v>
      </c>
      <c r="G53" s="20">
        <v>3.4</v>
      </c>
      <c r="H53" s="20" t="s">
        <v>471</v>
      </c>
      <c r="I53" s="32" t="s">
        <v>485</v>
      </c>
      <c r="J53" s="226">
        <v>0.70399999999999996</v>
      </c>
      <c r="K53" s="226" t="s">
        <v>835</v>
      </c>
      <c r="L53" s="226">
        <f>J53/1000</f>
        <v>7.0399999999999998E-4</v>
      </c>
      <c r="M53" s="226" t="s">
        <v>845</v>
      </c>
      <c r="N53" s="226">
        <v>99.5</v>
      </c>
      <c r="O53" s="226">
        <v>95.2</v>
      </c>
    </row>
    <row r="54" spans="1:18">
      <c r="A54" s="20" t="s">
        <v>165</v>
      </c>
      <c r="B54" s="20" t="s">
        <v>2</v>
      </c>
      <c r="C54" s="20">
        <v>3.1E-2</v>
      </c>
      <c r="D54" s="20" t="s">
        <v>4</v>
      </c>
      <c r="E54" s="127">
        <v>92.4</v>
      </c>
      <c r="F54" s="20" t="s">
        <v>468</v>
      </c>
      <c r="G54" s="20">
        <v>5.5</v>
      </c>
      <c r="H54" s="20" t="s">
        <v>471</v>
      </c>
      <c r="I54" s="32" t="s">
        <v>486</v>
      </c>
      <c r="J54" s="226">
        <v>1.23</v>
      </c>
      <c r="K54" s="226" t="s">
        <v>835</v>
      </c>
      <c r="L54" s="226">
        <f t="shared" ref="L54:L55" si="4">J54/1000</f>
        <v>1.23E-3</v>
      </c>
      <c r="M54" s="226" t="s">
        <v>845</v>
      </c>
      <c r="N54" s="226">
        <v>99.8</v>
      </c>
      <c r="O54" s="226">
        <v>98.1</v>
      </c>
    </row>
    <row r="55" spans="1:18">
      <c r="A55" s="20" t="s">
        <v>166</v>
      </c>
      <c r="B55" s="20" t="s">
        <v>2</v>
      </c>
      <c r="C55" s="20">
        <v>1.4E-2</v>
      </c>
      <c r="D55" s="20" t="s">
        <v>4</v>
      </c>
      <c r="E55" s="20">
        <v>0</v>
      </c>
      <c r="F55" s="20" t="s">
        <v>468</v>
      </c>
      <c r="G55" s="20">
        <v>3.5</v>
      </c>
      <c r="H55" s="20" t="s">
        <v>471</v>
      </c>
      <c r="I55" s="32" t="s">
        <v>487</v>
      </c>
      <c r="J55" s="226">
        <v>2.12</v>
      </c>
      <c r="K55" s="226" t="s">
        <v>835</v>
      </c>
      <c r="L55" s="226">
        <f t="shared" si="4"/>
        <v>2.1199999999999999E-3</v>
      </c>
      <c r="M55" s="226" t="s">
        <v>845</v>
      </c>
      <c r="N55" s="226">
        <v>99.8</v>
      </c>
      <c r="O55" s="226">
        <v>99.1</v>
      </c>
    </row>
    <row r="56" spans="1:18">
      <c r="A56" s="20" t="s">
        <v>167</v>
      </c>
      <c r="B56" s="20" t="s">
        <v>2</v>
      </c>
      <c r="C56" s="20">
        <v>1.7000000000000001E-2</v>
      </c>
      <c r="D56" s="20" t="s">
        <v>4</v>
      </c>
      <c r="E56" s="20">
        <v>0</v>
      </c>
      <c r="F56" s="20" t="s">
        <v>468</v>
      </c>
      <c r="G56" s="20">
        <v>5.4</v>
      </c>
      <c r="H56" s="20" t="s">
        <v>471</v>
      </c>
      <c r="I56" s="32" t="s">
        <v>488</v>
      </c>
      <c r="J56" s="226">
        <v>0.26400000000000001</v>
      </c>
      <c r="K56" s="226" t="s">
        <v>838</v>
      </c>
      <c r="L56" s="226">
        <f>J56/1000</f>
        <v>2.6400000000000002E-4</v>
      </c>
      <c r="M56" s="226" t="s">
        <v>845</v>
      </c>
      <c r="N56" s="226">
        <v>99.8</v>
      </c>
      <c r="O56" s="226">
        <v>98.8</v>
      </c>
    </row>
    <row r="57" spans="1:18">
      <c r="A57" s="20" t="s">
        <v>168</v>
      </c>
      <c r="B57" s="20" t="s">
        <v>3</v>
      </c>
      <c r="C57" s="20">
        <v>3.5999999999999999E-3</v>
      </c>
      <c r="D57" s="20" t="s">
        <v>193</v>
      </c>
      <c r="E57" s="20">
        <v>281</v>
      </c>
      <c r="F57" s="20" t="s">
        <v>468</v>
      </c>
      <c r="G57" s="20">
        <v>2.67</v>
      </c>
      <c r="H57" s="20" t="s">
        <v>472</v>
      </c>
      <c r="I57" s="32" t="s">
        <v>483</v>
      </c>
      <c r="J57" s="231">
        <v>3.6799999999999999E-2</v>
      </c>
      <c r="K57" s="231" t="s">
        <v>837</v>
      </c>
      <c r="L57" s="226">
        <f>J57/1000</f>
        <v>3.68E-5</v>
      </c>
      <c r="M57" s="226" t="s">
        <v>846</v>
      </c>
      <c r="N57" s="226">
        <v>85</v>
      </c>
      <c r="O57" s="226">
        <v>65</v>
      </c>
    </row>
    <row r="58" spans="1:18">
      <c r="A58" s="20" t="s">
        <v>185</v>
      </c>
      <c r="B58" s="20" t="s">
        <v>187</v>
      </c>
      <c r="C58" s="20">
        <f>0.041*0.845</f>
        <v>3.4645000000000002E-2</v>
      </c>
      <c r="D58" s="20" t="s">
        <v>186</v>
      </c>
      <c r="E58" s="127">
        <v>73.3</v>
      </c>
      <c r="F58" s="20" t="s">
        <v>468</v>
      </c>
      <c r="G58" s="20">
        <v>29.83</v>
      </c>
      <c r="H58" s="20" t="s">
        <v>474</v>
      </c>
      <c r="I58" s="32" t="s">
        <v>489</v>
      </c>
      <c r="J58" s="226">
        <v>6.4000000000000001E-2</v>
      </c>
      <c r="K58" s="226" t="s">
        <v>838</v>
      </c>
      <c r="L58" s="226">
        <f>J58/1000*0.92</f>
        <v>5.8879999999999999E-5</v>
      </c>
      <c r="M58" s="226" t="s">
        <v>844</v>
      </c>
      <c r="N58" s="226">
        <v>93</v>
      </c>
      <c r="O58" s="226">
        <v>67</v>
      </c>
    </row>
    <row r="59" spans="1:18">
      <c r="A59" s="20" t="s">
        <v>476</v>
      </c>
      <c r="B59" s="20" t="s">
        <v>3</v>
      </c>
      <c r="C59" s="20">
        <v>3.5999999999999999E-3</v>
      </c>
      <c r="D59" s="20" t="s">
        <v>193</v>
      </c>
      <c r="E59" s="20">
        <v>281</v>
      </c>
      <c r="F59" s="20" t="s">
        <v>468</v>
      </c>
      <c r="G59" s="20">
        <v>5</v>
      </c>
      <c r="H59" s="20" t="s">
        <v>472</v>
      </c>
      <c r="I59" s="32" t="s">
        <v>490</v>
      </c>
      <c r="J59" s="231">
        <v>3.6799999999999999E-2</v>
      </c>
      <c r="K59" s="231" t="s">
        <v>837</v>
      </c>
      <c r="L59" s="226">
        <f>J59/1000</f>
        <v>3.68E-5</v>
      </c>
      <c r="M59" s="226" t="s">
        <v>846</v>
      </c>
      <c r="N59" s="226">
        <v>85</v>
      </c>
      <c r="O59" s="226">
        <v>65</v>
      </c>
    </row>
    <row r="60" spans="1:18">
      <c r="A60" s="24" t="s">
        <v>11</v>
      </c>
      <c r="B60" s="24" t="s">
        <v>119</v>
      </c>
      <c r="J60" s="25"/>
      <c r="K60" s="25"/>
      <c r="L60" s="126"/>
    </row>
    <row r="61" spans="1:18">
      <c r="A61" s="20" t="s">
        <v>12</v>
      </c>
      <c r="B61" s="20" t="s">
        <v>120</v>
      </c>
      <c r="J61" s="25"/>
      <c r="K61" s="25"/>
      <c r="L61" s="126"/>
    </row>
    <row r="62" spans="1:18">
      <c r="A62" s="20" t="s">
        <v>13</v>
      </c>
      <c r="B62" s="20" t="s">
        <v>43</v>
      </c>
      <c r="J62" s="25"/>
      <c r="K62" s="25"/>
      <c r="L62" s="126"/>
    </row>
    <row r="63" spans="1:18">
      <c r="A63" s="228"/>
      <c r="B63" s="228"/>
      <c r="C63" s="228"/>
      <c r="D63" s="228"/>
      <c r="E63" s="228"/>
      <c r="J63" s="25"/>
      <c r="K63" s="25"/>
      <c r="L63" s="126"/>
    </row>
    <row r="64" spans="1:18">
      <c r="A64" s="228"/>
      <c r="B64" s="228"/>
      <c r="C64" s="228"/>
      <c r="D64" s="228"/>
      <c r="E64" s="228"/>
      <c r="J64" s="25"/>
      <c r="K64" s="25"/>
      <c r="L64" s="126"/>
    </row>
    <row r="65" spans="1:14">
      <c r="A65" s="228"/>
      <c r="B65" s="228"/>
      <c r="C65" s="228"/>
      <c r="D65" s="228"/>
      <c r="E65" s="228"/>
      <c r="J65" s="25"/>
      <c r="K65" s="25"/>
      <c r="L65" s="126"/>
    </row>
    <row r="66" spans="1:14">
      <c r="J66" s="25"/>
      <c r="K66" s="25"/>
      <c r="L66" s="126"/>
    </row>
    <row r="67" spans="1:14">
      <c r="A67" s="20">
        <f>Kotel!E14</f>
        <v>0</v>
      </c>
      <c r="B67" s="20" t="s">
        <v>112</v>
      </c>
      <c r="J67" s="25"/>
      <c r="K67" s="25"/>
      <c r="L67" s="126"/>
    </row>
    <row r="68" spans="1:14">
      <c r="J68" s="25"/>
      <c r="K68" s="25"/>
      <c r="L68" s="126"/>
    </row>
    <row r="69" spans="1:14">
      <c r="A69" s="20">
        <f>Kotel!E18</f>
        <v>0</v>
      </c>
      <c r="B69" s="20" t="s">
        <v>5</v>
      </c>
    </row>
    <row r="71" spans="1:14">
      <c r="A71" s="20" t="s">
        <v>115</v>
      </c>
      <c r="B71" s="28">
        <f>F75</f>
        <v>0</v>
      </c>
      <c r="C71" s="20" t="s">
        <v>1</v>
      </c>
      <c r="L71" s="233"/>
    </row>
    <row r="72" spans="1:14">
      <c r="A72" s="20" t="s">
        <v>226</v>
      </c>
      <c r="B72" s="28">
        <f>IF(D75="elektrokotel",0,parametry!B71)</f>
        <v>0</v>
      </c>
    </row>
    <row r="73" spans="1:14">
      <c r="A73" s="20" t="s">
        <v>168</v>
      </c>
      <c r="B73" s="28">
        <f>IF(D75="elektrokotel",parametry!B71,0)</f>
        <v>0</v>
      </c>
      <c r="D73" s="20" t="s">
        <v>720</v>
      </c>
      <c r="F73" s="20">
        <f>IF(AND(B110=TRUE,parametry!B136=2),IF(AND(Kotel!E21="ne",E89&lt;E85),E85,parametry!E89),IF(OR(AND(B109=TRUE,B110=TRUE,IF(ISNUMBER(E88&gt;E87),E88&gt;E87)),AND(B109=FALSE,B110=TRUE)),E88/G75,IF(B110=TRUE,IF(Zateplení!F7="ano",E86/G75,E87/G75),E85)))</f>
        <v>0</v>
      </c>
    </row>
    <row r="74" spans="1:14">
      <c r="A74" s="20" t="s">
        <v>114</v>
      </c>
      <c r="B74" s="28" t="e">
        <f>H75</f>
        <v>#N/A</v>
      </c>
      <c r="C74" s="20" t="s">
        <v>1</v>
      </c>
      <c r="D74" s="141"/>
      <c r="E74" s="141" t="s">
        <v>497</v>
      </c>
      <c r="F74" s="137" t="s">
        <v>493</v>
      </c>
      <c r="G74" s="137" t="s">
        <v>494</v>
      </c>
      <c r="H74" s="137" t="s">
        <v>496</v>
      </c>
      <c r="I74" s="137" t="s">
        <v>495</v>
      </c>
      <c r="J74" s="141" t="s">
        <v>500</v>
      </c>
      <c r="K74" s="141" t="s">
        <v>499</v>
      </c>
      <c r="L74" s="251" t="s">
        <v>847</v>
      </c>
      <c r="M74" s="251" t="s">
        <v>849</v>
      </c>
      <c r="N74" s="251" t="s">
        <v>850</v>
      </c>
    </row>
    <row r="75" spans="1:14">
      <c r="A75" s="20" t="s">
        <v>223</v>
      </c>
      <c r="B75" s="59">
        <f>F76</f>
        <v>0</v>
      </c>
      <c r="C75" s="20" t="s">
        <v>1</v>
      </c>
      <c r="D75" s="141">
        <f>IF(parametry!B109=TRUE,Kotel!E4,Zateplení!F13)</f>
        <v>0</v>
      </c>
      <c r="E75" s="141">
        <f>IF(D75="kotel na zemní plyn",$A$52,IF(OR(D75="elektrokotel",D75="tepelné cerpadlo"),$A$57,IF(D75="kotel na topný olej",$A$58,IF($B$109=TRUE,Kotel!$E$6,Zateplení!$F$14))))</f>
        <v>0</v>
      </c>
      <c r="F75" s="139">
        <f>IFERROR(IF(AND(B110=TRUE,parametry!B136=2),IF(AND(Kotel!E21="ne",E89&lt;E85),E85,parametry!E89),IF(OR(AND(B109=TRUE,B110=TRUE,IF(ISNUMBER(E88&gt;E87),E88&gt;E87)),AND(B109=FALSE,B110=TRUE)),E88/G75,IF(B110=TRUE,IF(Zateplení!F7="ano",E86/G75,E87/G75),E85))),0)</f>
        <v>0</v>
      </c>
      <c r="G75" s="137" t="e">
        <f>IF(parametry!B109=TRUE,IF(Kotel!E8="ne",VLOOKUP(CONCATENATE(Kotel!E4,"-",Kotel!E5),parametry!A1:B24,2,0),Kotel!E9),VLOOKUP(Zateplení!F13,parametry!A34:B39,2,0))</f>
        <v>#N/A</v>
      </c>
      <c r="H75" s="137" t="e">
        <f>F75*G75</f>
        <v>#N/A</v>
      </c>
      <c r="I75" s="137" t="e">
        <f>F75-H75</f>
        <v>#N/A</v>
      </c>
      <c r="J75" s="143">
        <f>IFERROR(VLOOKUP(E75,$A$52:$H$59,5,0)*F75,0)</f>
        <v>0</v>
      </c>
      <c r="K75" s="145">
        <f>IFERROR(VLOOKUP(E75,$A$52:$H$59,7,0)/VLOOKUP(E75,$A$52:$H$59,3,0)*F75,0)</f>
        <v>0</v>
      </c>
      <c r="L75" s="252">
        <f>IFERROR(IF(AND(parametry!B109=TRUE,Kotel!E4="kotel na tuhá paliva"),VLOOKUP(CONCATENATE(Kotel!E4,"-",Kotel!E5,"-",Kotel!E6),parametry!E1:L17,5,0)/VLOOKUP(E75,$A$52:$O$59,3,0)*F75,VLOOKUP(E75,$A$52:$O$59,12,0)/VLOOKUP(E75,$A$52:$O$59,3,0)*F75),0)</f>
        <v>0</v>
      </c>
      <c r="M75" s="252">
        <f>IFERROR(IF(AND(parametry!B109=TRUE,Kotel!E4="kotel na tuhá paliva"),VLOOKUP(CONCATENATE(Kotel!E4,"-",Kotel!E5,"-",Kotel!E6),parametry!E1:L17,7,0)/100*L75,VLOOKUP(E75,$A$52:$O$59,14,0)/100*L75),0)</f>
        <v>0</v>
      </c>
      <c r="N75" s="252">
        <f>IFERROR(IF(AND(parametry!B109=TRUE,Kotel!E4="kotel na tuhá paliva"),VLOOKUP(CONCATENATE(Kotel!E4,"-",Kotel!E5,"-",Kotel!E6),parametry!E1:L17,8,0)/100*L75,VLOOKUP(E75,$A$52:$O$59,15,0)/100*L75),0)</f>
        <v>0</v>
      </c>
    </row>
    <row r="76" spans="1:14">
      <c r="A76" s="20" t="s">
        <v>224</v>
      </c>
      <c r="B76" s="28"/>
      <c r="D76" s="141">
        <f>IF(parametry!B109=TRUE,Kotel!E13,Zateplení!F13)</f>
        <v>0</v>
      </c>
      <c r="E76" s="141">
        <f>IFERROR(IF(D76="kotel na zemní plyn",$A$52,IF(OR(D76="elektrokotel",D76="tepelné cerpadlo"),$A$57,IF(D76="kotel na topný olej",$A$58,IF($B$109=FALSE,Zateplení!$F$14,VLOOKUP(D76,$A$43:$D$47,4,0))))),0)</f>
        <v>0</v>
      </c>
      <c r="F76" s="139">
        <f>IFERROR(H76/G76,0)</f>
        <v>0</v>
      </c>
      <c r="G76" s="137" t="e">
        <f>IF(parametry!B109=TRUE,IF(Kotel!E13="tepelné cerpadlo",IF(Kotel!E17="ano",Kotel!E18,parametry!B47),IF(Kotel!E14="ne",VLOOKUP(Kotel!E13,parametry!A43:B47,2,0),Kotel!E15)),VLOOKUP(Zateplení!F13,parametry!A34:B39,2,0))</f>
        <v>#N/A</v>
      </c>
      <c r="H76" s="138">
        <f>IFERROR(IF(AND(B110=TRUE,parametry!B136=2),H75-H86,H75-R193),0)</f>
        <v>0</v>
      </c>
      <c r="I76" s="139">
        <f>F76-H76</f>
        <v>0</v>
      </c>
      <c r="J76" s="143">
        <f>IFERROR(VLOOKUP(E76,$A$52:$H$59,5,0)*F76,0)</f>
        <v>0</v>
      </c>
      <c r="K76" s="145">
        <f>IFERROR(VLOOKUP(E76,$A$52:$H$59,7,0)/VLOOKUP(E76,$A$52:$H$59,3,0)*F76,0)</f>
        <v>0</v>
      </c>
      <c r="L76" s="252">
        <f>IFERROR(VLOOKUP(E76,$A$52:$O$59,12,0)/VLOOKUP(E76,$A$52:$O$59,3,0)*F76,0)</f>
        <v>0</v>
      </c>
      <c r="M76" s="252">
        <f>IFERROR(VLOOKUP(E76,$A$52:$O$59,14,0)/100*L76,0)</f>
        <v>0</v>
      </c>
      <c r="N76" s="252">
        <f>IFERROR(VLOOKUP(E76,$A$52:$O$59,15,0)/100*L76,0)</f>
        <v>0</v>
      </c>
    </row>
    <row r="77" spans="1:14">
      <c r="A77" s="20" t="s">
        <v>168</v>
      </c>
      <c r="B77" s="28"/>
      <c r="D77" s="141"/>
      <c r="E77" s="142" t="s">
        <v>498</v>
      </c>
      <c r="F77" s="139">
        <f>F75-F76</f>
        <v>0</v>
      </c>
      <c r="G77" s="137"/>
      <c r="H77" s="139" t="e">
        <f>H75-H76</f>
        <v>#N/A</v>
      </c>
      <c r="I77" s="139" t="e">
        <f>I75-I76</f>
        <v>#N/A</v>
      </c>
      <c r="J77" s="143">
        <f>J75-J76</f>
        <v>0</v>
      </c>
      <c r="K77" s="145">
        <f>K75-K76</f>
        <v>0</v>
      </c>
      <c r="L77" s="252">
        <f>L75-L76</f>
        <v>0</v>
      </c>
      <c r="M77" s="252">
        <f t="shared" ref="M77:N77" si="5">M75-M76</f>
        <v>0</v>
      </c>
      <c r="N77" s="252">
        <f t="shared" si="5"/>
        <v>0</v>
      </c>
    </row>
    <row r="78" spans="1:14">
      <c r="A78" s="30" t="s">
        <v>7</v>
      </c>
      <c r="B78" s="28">
        <f>IF(Kotel!E13="tepelné cerpadlo",B71,0)</f>
        <v>0</v>
      </c>
      <c r="C78" s="20" t="s">
        <v>1</v>
      </c>
      <c r="D78" s="141"/>
      <c r="E78" s="142" t="s">
        <v>498</v>
      </c>
      <c r="F78" s="140">
        <f>IFERROR(F77/F75,0)</f>
        <v>0</v>
      </c>
      <c r="G78" s="140"/>
      <c r="H78" s="140">
        <f>IFERROR(H77/H75,0)</f>
        <v>0</v>
      </c>
      <c r="I78" s="140">
        <f>IFERROR(I77/I75,0)</f>
        <v>0</v>
      </c>
      <c r="J78" s="144">
        <f>IFERROR(J77/J75,0)</f>
        <v>0</v>
      </c>
      <c r="K78" s="144">
        <f>IFERROR(K77/K75,0)</f>
        <v>0</v>
      </c>
      <c r="L78" s="253">
        <f>IFERROR(L77/L75,0)</f>
        <v>0</v>
      </c>
      <c r="M78" s="253">
        <f t="shared" ref="M78:N78" si="6">IFERROR(M77/M75,0)</f>
        <v>0</v>
      </c>
      <c r="N78" s="253">
        <f t="shared" si="6"/>
        <v>0</v>
      </c>
    </row>
    <row r="79" spans="1:14">
      <c r="A79" s="30"/>
      <c r="B79" s="28"/>
      <c r="E79" s="20" t="s">
        <v>3</v>
      </c>
      <c r="F79" s="21">
        <f>F75/3.6*1000</f>
        <v>0</v>
      </c>
      <c r="H79" s="21" t="e">
        <f>H75/3.6*1000</f>
        <v>#N/A</v>
      </c>
    </row>
    <row r="80" spans="1:14">
      <c r="A80" s="20" t="s">
        <v>6</v>
      </c>
      <c r="B80" s="28">
        <f>F77</f>
        <v>0</v>
      </c>
      <c r="C80" s="20" t="s">
        <v>1</v>
      </c>
      <c r="F80" s="21">
        <f>F76/3.6*1000</f>
        <v>0</v>
      </c>
      <c r="H80" s="21">
        <f>H76/3.6*1000</f>
        <v>0</v>
      </c>
    </row>
    <row r="81" spans="1:15">
      <c r="A81" s="20" t="s">
        <v>8</v>
      </c>
      <c r="B81" s="28">
        <f>IF(OR(AND(Kotel!E13="tepelné cerpadlo",D75="elektrokotel"),AND(D75="elektrokotel",D76="elektrokotel")),0,IF(Kotel!E13="tepelné cerpadlo",B78,IF(D75="elektrokotel",-F76,B72-B75-B78)))</f>
        <v>0</v>
      </c>
      <c r="C81" s="20" t="s">
        <v>1</v>
      </c>
      <c r="E81" s="31"/>
      <c r="F81" s="21">
        <f>F77/3.6*1000</f>
        <v>0</v>
      </c>
      <c r="H81" s="21" t="e">
        <f>H77/3.6*1000</f>
        <v>#N/A</v>
      </c>
    </row>
    <row r="82" spans="1:15">
      <c r="A82" s="20" t="s">
        <v>9</v>
      </c>
      <c r="B82" s="28">
        <f>IF(AND(E76="elektřina",E75="elektřina"),B80,IF(E76="elektřina",-F76,IF(E75="elektřina",F75,0)))</f>
        <v>0</v>
      </c>
      <c r="C82" s="20" t="s">
        <v>1</v>
      </c>
      <c r="D82" s="20" t="s">
        <v>225</v>
      </c>
      <c r="F82" s="29"/>
      <c r="J82" s="204" t="s">
        <v>776</v>
      </c>
      <c r="K82" s="204"/>
      <c r="L82" s="204"/>
      <c r="M82" s="204"/>
      <c r="N82" s="204"/>
      <c r="O82" s="218"/>
    </row>
    <row r="83" spans="1:15">
      <c r="J83" s="204"/>
      <c r="K83" s="204" t="str">
        <f>D73</f>
        <v>KOTEL + ZATEPLENÍ</v>
      </c>
      <c r="L83" s="204" t="s">
        <v>774</v>
      </c>
      <c r="M83" s="204" t="s">
        <v>157</v>
      </c>
      <c r="N83" s="204" t="s">
        <v>918</v>
      </c>
      <c r="O83" s="218" t="s">
        <v>727</v>
      </c>
    </row>
    <row r="84" spans="1:15">
      <c r="D84" s="189" t="s">
        <v>689</v>
      </c>
      <c r="E84" s="189" t="s">
        <v>1</v>
      </c>
      <c r="G84" s="20" t="s">
        <v>830</v>
      </c>
      <c r="H84" s="20" t="s">
        <v>1</v>
      </c>
      <c r="J84" s="204" t="s">
        <v>721</v>
      </c>
      <c r="K84" s="205">
        <f>IFERROR(F75,0)</f>
        <v>0</v>
      </c>
      <c r="L84" s="205">
        <f>IF(AND(B110=TRUE,parametry!B136=2),0,O192/1000*3.6)</f>
        <v>0</v>
      </c>
      <c r="M84" s="223">
        <f>IFERROR(IF(OR(AND(B110=TRUE,B136=2,Osvetlení!E40="ne"),B110=FALSE),Osvetlení!D43/1000*3.6,0),0)</f>
        <v>0</v>
      </c>
      <c r="N84" s="223"/>
      <c r="O84" s="219">
        <f t="shared" ref="O84:O101" si="7">SUM(K84:N84)</f>
        <v>0</v>
      </c>
    </row>
    <row r="85" spans="1:15">
      <c r="A85" s="20" t="s">
        <v>160</v>
      </c>
      <c r="B85" s="20">
        <f>(1/3.6)*1000</f>
        <v>277.77777777777777</v>
      </c>
      <c r="D85" s="189" t="s">
        <v>684</v>
      </c>
      <c r="E85" s="189">
        <f>IFERROR(IF(Kotel!E4="centrální zásobování teplem",Kotel!E7,Kotel!E7*VLOOKUP(E75,$A$52:$C$59,3,0)),0)</f>
        <v>0</v>
      </c>
      <c r="G85" s="20" t="s">
        <v>831</v>
      </c>
      <c r="H85" s="33">
        <f>R193</f>
        <v>0</v>
      </c>
      <c r="J85" s="204" t="s">
        <v>722</v>
      </c>
      <c r="K85" s="205">
        <f>IFERROR(F76,0)</f>
        <v>0</v>
      </c>
      <c r="L85" s="205">
        <f>IF(AND(B110=TRUE,parametry!B136=2),0,P192/1000*3.6)</f>
        <v>0</v>
      </c>
      <c r="M85" s="223">
        <f>IFERROR(IF(OR(AND(B110=TRUE,B136=2,Osvetlení!E40="ne"),B110=FALSE),Osvetlení!D44/1000*3.6,0),0)</f>
        <v>0</v>
      </c>
      <c r="N85" s="223"/>
      <c r="O85" s="219">
        <f t="shared" si="7"/>
        <v>0</v>
      </c>
    </row>
    <row r="86" spans="1:15">
      <c r="A86" s="20" t="s">
        <v>161</v>
      </c>
      <c r="B86" s="20">
        <f>1/1000*3.6</f>
        <v>3.6000000000000003E-3</v>
      </c>
      <c r="D86" s="189" t="s">
        <v>685</v>
      </c>
      <c r="E86" s="189">
        <f>Zateplení!F8/1000*3.6</f>
        <v>0</v>
      </c>
      <c r="G86" s="20" t="s">
        <v>832</v>
      </c>
      <c r="H86" s="120" t="e">
        <f>D198*G75</f>
        <v>#N/A</v>
      </c>
      <c r="J86" s="204" t="s">
        <v>427</v>
      </c>
      <c r="K86" s="205">
        <f>K84-K85</f>
        <v>0</v>
      </c>
      <c r="L86" s="205">
        <f>L84-L85</f>
        <v>0</v>
      </c>
      <c r="M86" s="223">
        <f>M84-M85</f>
        <v>0</v>
      </c>
      <c r="N86" s="223"/>
      <c r="O86" s="219">
        <f t="shared" si="7"/>
        <v>0</v>
      </c>
    </row>
    <row r="87" spans="1:15">
      <c r="D87" s="189" t="s">
        <v>686</v>
      </c>
      <c r="E87" s="190">
        <f>IFERROR((VLOOKUP(B139,$A$153:$B$158,2,0)*Zateplení!F9)/1000*3.6,0)</f>
        <v>0</v>
      </c>
      <c r="J87" s="204" t="s">
        <v>723</v>
      </c>
      <c r="K87" s="207">
        <f>IFERROR(J75,0)</f>
        <v>0</v>
      </c>
      <c r="L87" s="207">
        <f>IFERROR(VLOOKUP(E75,$A$52:$H$59,5,0)*L84,0)</f>
        <v>0</v>
      </c>
      <c r="M87" s="223">
        <f>M84/3.6*1000*parametry!$C$59*parametry!$E$59</f>
        <v>0</v>
      </c>
      <c r="N87" s="223">
        <f>IF(B112,C57*E57*FVE!E5,0)</f>
        <v>0</v>
      </c>
      <c r="O87" s="219">
        <f t="shared" si="7"/>
        <v>0</v>
      </c>
    </row>
    <row r="88" spans="1:15">
      <c r="D88" s="189" t="s">
        <v>687</v>
      </c>
      <c r="E88" s="191">
        <f>IFERROR(O193/1000*3.6,0)</f>
        <v>0</v>
      </c>
      <c r="J88" s="204" t="s">
        <v>724</v>
      </c>
      <c r="K88" s="207">
        <f>IFERROR(J76,0)</f>
        <v>0</v>
      </c>
      <c r="L88" s="207">
        <f>IFERROR(VLOOKUP(E76,$A$52:$H$59,5,0)*L85,0)</f>
        <v>0</v>
      </c>
      <c r="M88" s="223">
        <f>M85/3.6*1000*parametry!$C$59*parametry!$E$59</f>
        <v>0</v>
      </c>
      <c r="N88" s="223">
        <v>0</v>
      </c>
      <c r="O88" s="219">
        <f t="shared" si="7"/>
        <v>0</v>
      </c>
    </row>
    <row r="89" spans="1:15">
      <c r="D89" s="189" t="s">
        <v>688</v>
      </c>
      <c r="E89" s="189">
        <f>Zateplení!F22/1000*3.6</f>
        <v>0</v>
      </c>
      <c r="H89" s="120"/>
      <c r="J89" s="204" t="s">
        <v>719</v>
      </c>
      <c r="K89" s="207">
        <f>K87-K88</f>
        <v>0</v>
      </c>
      <c r="L89" s="207">
        <f>L87-L88</f>
        <v>0</v>
      </c>
      <c r="M89" s="206">
        <f>M87-M88</f>
        <v>0</v>
      </c>
      <c r="N89" s="206">
        <f>N87-N88</f>
        <v>0</v>
      </c>
      <c r="O89" s="219">
        <f>SUM(K89:N89)</f>
        <v>0</v>
      </c>
    </row>
    <row r="90" spans="1:15">
      <c r="J90" s="204" t="s">
        <v>725</v>
      </c>
      <c r="K90" s="208">
        <f>IFERROR(K75,0)</f>
        <v>0</v>
      </c>
      <c r="L90" s="208">
        <f>IFERROR(VLOOKUP(E75,$A$52:$H$59,7,0)/VLOOKUP(E75,$A$52:$H$59,3,0)*L84,0)</f>
        <v>0</v>
      </c>
      <c r="M90" s="208">
        <f>M84/3.6*1000*parametry!$G$59</f>
        <v>0</v>
      </c>
      <c r="N90" s="208">
        <f>N84/3.6*1000*parametry!$G$59</f>
        <v>0</v>
      </c>
      <c r="O90" s="220">
        <f t="shared" si="7"/>
        <v>0</v>
      </c>
    </row>
    <row r="91" spans="1:15">
      <c r="J91" s="204" t="s">
        <v>726</v>
      </c>
      <c r="K91" s="208">
        <f>IFERROR(K76,0)</f>
        <v>0</v>
      </c>
      <c r="L91" s="208">
        <f>IFERROR(VLOOKUP(E76,$A$52:$H$59,7,0)/VLOOKUP(E76,$A$52:$H$59,3,0)*L85,0)</f>
        <v>0</v>
      </c>
      <c r="M91" s="208">
        <f>M85/3.6*1000*parametry!$G$59</f>
        <v>0</v>
      </c>
      <c r="N91" s="208">
        <f>N85/3.6*1000*parametry!$G$59</f>
        <v>0</v>
      </c>
      <c r="O91" s="220">
        <f>SUM(K91:N91)</f>
        <v>0</v>
      </c>
    </row>
    <row r="92" spans="1:15">
      <c r="A92" s="31" t="s">
        <v>157</v>
      </c>
      <c r="J92" s="204" t="s">
        <v>475</v>
      </c>
      <c r="K92" s="208">
        <f>K90-K91</f>
        <v>0</v>
      </c>
      <c r="L92" s="208">
        <f>L90-L91</f>
        <v>0</v>
      </c>
      <c r="M92" s="208">
        <f>M90-M91</f>
        <v>0</v>
      </c>
      <c r="N92" s="208">
        <f>IF(B112,FVE!E5*parametry!$G$59,0)</f>
        <v>0</v>
      </c>
      <c r="O92" s="220">
        <f t="shared" si="7"/>
        <v>0</v>
      </c>
    </row>
    <row r="93" spans="1:15">
      <c r="J93" s="226" t="s">
        <v>866</v>
      </c>
      <c r="K93" s="234">
        <f>L75</f>
        <v>0</v>
      </c>
      <c r="L93" s="226">
        <f>IFERROR(IF(AND(parametry!B109=TRUE,Kotel!E4="kotel na tuhá paliva"),VLOOKUP(CONCATENATE(Kotel!E4,"-",Kotel!E5,"-",Kotel!E6),parametry!E1:L17,5,0)/VLOOKUP(E75,$A$52:$O$59,3,0)*L84,VLOOKUP(E75,$A$52:$O$59,12,0)/VLOOKUP(E75,$A$52:$O$59,3,0)*L84),0)</f>
        <v>0</v>
      </c>
      <c r="M93" s="234">
        <f>IFERROR($L$59/$C$59*M84,0)</f>
        <v>0</v>
      </c>
      <c r="N93" s="234">
        <f>IF(B112,FVE!E5*parametry!L57,0)</f>
        <v>0</v>
      </c>
      <c r="O93" s="234">
        <f t="shared" si="7"/>
        <v>0</v>
      </c>
    </row>
    <row r="94" spans="1:15">
      <c r="D94" s="20" t="s">
        <v>132</v>
      </c>
      <c r="E94" s="20" t="s">
        <v>137</v>
      </c>
      <c r="F94" s="20" t="s">
        <v>138</v>
      </c>
      <c r="G94" s="20" t="s">
        <v>148</v>
      </c>
      <c r="H94" s="20" t="s">
        <v>147</v>
      </c>
      <c r="J94" s="226" t="s">
        <v>867</v>
      </c>
      <c r="K94" s="234">
        <f>L76</f>
        <v>0</v>
      </c>
      <c r="L94" s="226">
        <f>IFERROR(VLOOKUP(E76,$A$52:$O$59,12,0)/VLOOKUP(E76,$A$52:$O$59,3,0)*L85,0)</f>
        <v>0</v>
      </c>
      <c r="M94" s="234">
        <f>IFERROR($L$59/$C$59*M85,0)</f>
        <v>0</v>
      </c>
      <c r="N94" s="234">
        <f>IFERROR($L$59/$C$59*N85,0)</f>
        <v>0</v>
      </c>
      <c r="O94" s="234">
        <f t="shared" si="7"/>
        <v>0</v>
      </c>
    </row>
    <row r="95" spans="1:15">
      <c r="A95" s="20" t="s">
        <v>133</v>
      </c>
      <c r="B95" s="32">
        <f>IF(Osvetlení!E4="ano",1,0)</f>
        <v>0</v>
      </c>
      <c r="C95" s="32">
        <f>IF(Osvetlení!E6="ano",1,0)</f>
        <v>0</v>
      </c>
      <c r="D95" s="20">
        <f>IF(B95=1,Osvetlení!E5,0)</f>
        <v>0</v>
      </c>
      <c r="E95" s="20">
        <f>IF(C95=1,Osvetlení!E7,0)</f>
        <v>0</v>
      </c>
      <c r="F95" s="20">
        <f>IF(C95=0,Osvetlení!E8,0)</f>
        <v>0</v>
      </c>
      <c r="G95" s="33" t="str">
        <f>IFERROR(IF(E95&gt;0, E95/D95,IF((F95)&gt;0,F95,"Uveďte buď celkový příkon nebo průměrný příkon")),"Uveďte buď celkový příkon nebo průměrný příkon")</f>
        <v>Uveďte buď celkový příkon nebo průměrný příkon</v>
      </c>
      <c r="H95" s="33">
        <f>IFERROR(VLOOKUP(G95,Osvetlení_parametry!$A$2:$F$116,6,1),0)</f>
        <v>0</v>
      </c>
      <c r="J95" s="255" t="s">
        <v>870</v>
      </c>
      <c r="K95" s="254">
        <f>K93-K94</f>
        <v>0</v>
      </c>
      <c r="L95" s="255">
        <f>L93-L94</f>
        <v>0</v>
      </c>
      <c r="M95" s="254">
        <f>M93-M94</f>
        <v>0</v>
      </c>
      <c r="N95" s="254">
        <f>N93-N94</f>
        <v>0</v>
      </c>
      <c r="O95" s="234">
        <f t="shared" si="7"/>
        <v>0</v>
      </c>
    </row>
    <row r="96" spans="1:15">
      <c r="A96" s="20" t="s">
        <v>134</v>
      </c>
      <c r="B96" s="32">
        <f>IF(Osvetlení!E10="ano",1,0)</f>
        <v>0</v>
      </c>
      <c r="C96" s="32">
        <f>IF(Osvetlení!E12="ano",1,0)</f>
        <v>0</v>
      </c>
      <c r="D96" s="20">
        <f>IF(B96=1,Osvetlení!E11,0)</f>
        <v>0</v>
      </c>
      <c r="E96" s="20">
        <f>IF(C96=1,Osvetlení!E13,0)</f>
        <v>0</v>
      </c>
      <c r="F96" s="20">
        <f>IF(C96=0,Osvetlení!E14,0)</f>
        <v>0</v>
      </c>
      <c r="G96" s="33" t="str">
        <f>IFERROR(IF(E96&gt;0, E96/D96,IF((F96)&gt;0,F96,"Uveďte buď celkový příkon nebo průměrný příkon")),"Uveďte buď celkový příkon nebo průměrný příkon")</f>
        <v>Uveďte buď celkový příkon nebo průměrný příkon</v>
      </c>
      <c r="H96" s="33">
        <f>IFERROR(VLOOKUP(G96,Osvetlení_parametry!$B$2:$F$116,5,1),0)</f>
        <v>0</v>
      </c>
      <c r="J96" s="226" t="s">
        <v>868</v>
      </c>
      <c r="K96" s="234">
        <f>M75</f>
        <v>0</v>
      </c>
      <c r="L96" s="226">
        <f>IFERROR(IF(AND(parametry!B109=TRUE,Kotel!E4="kotel na tuhá paliva"),VLOOKUP(CONCATENATE(Kotel!E4,"-",Kotel!E5,"-",Kotel!E6),parametry!E1:L17,7,0)/100*L93,VLOOKUP(E75,$A$52:$O$59,14,0)/100*L93),0)</f>
        <v>0</v>
      </c>
      <c r="M96" s="234">
        <f>IFERROR($N$59/100*M93,0)</f>
        <v>0</v>
      </c>
      <c r="N96" s="234">
        <f>IFERROR($N$59/100*N93,0)</f>
        <v>0</v>
      </c>
      <c r="O96" s="234">
        <f t="shared" si="7"/>
        <v>0</v>
      </c>
    </row>
    <row r="97" spans="1:15">
      <c r="A97" s="20" t="s">
        <v>122</v>
      </c>
      <c r="B97" s="32">
        <f>IF(Osvetlení!E16="ano",1,0)</f>
        <v>0</v>
      </c>
      <c r="C97" s="32">
        <f>IF(Osvetlení!E18="ano",1,0)</f>
        <v>0</v>
      </c>
      <c r="D97" s="20">
        <f>IF(B97=1,Osvetlení!E17,0)</f>
        <v>0</v>
      </c>
      <c r="E97" s="20">
        <f>IF(C97=1,Osvetlení!E19,0)</f>
        <v>0</v>
      </c>
      <c r="F97" s="20">
        <f>IF(C97=0,Osvetlení!E20,0)</f>
        <v>0</v>
      </c>
      <c r="G97" s="33" t="str">
        <f>IFERROR(IF(E97&gt;0, E97/D97,IF((F97)&gt;0,F97,"Uveďte buď celkový příkon nebo průměrný příkon")),"Uveďte buď celkový příkon nebo průměrný příkon")</f>
        <v>Uveďte buď celkový příkon nebo průměrný příkon</v>
      </c>
      <c r="H97" s="33">
        <f>IFERROR(VLOOKUP(G97,Osvetlení_parametry!$E$2:$F$116,2,1),0)</f>
        <v>0</v>
      </c>
      <c r="J97" s="226" t="s">
        <v>869</v>
      </c>
      <c r="K97" s="234">
        <f t="shared" ref="K97:K98" si="8">M76</f>
        <v>0</v>
      </c>
      <c r="L97" s="226">
        <f>IFERROR(VLOOKUP(E76,$A$52:$O$59,14,0)/100*L94,0)</f>
        <v>0</v>
      </c>
      <c r="M97" s="234">
        <f>IFERROR($N$59/100*M94,0)</f>
        <v>0</v>
      </c>
      <c r="N97" s="234">
        <f>IFERROR($N$59/100*N94,0)</f>
        <v>0</v>
      </c>
      <c r="O97" s="234">
        <f t="shared" si="7"/>
        <v>0</v>
      </c>
    </row>
    <row r="98" spans="1:15">
      <c r="A98" s="20" t="s">
        <v>135</v>
      </c>
      <c r="B98" s="32">
        <f>IF(Osvetlení!E22="ano",1,0)</f>
        <v>0</v>
      </c>
      <c r="C98" s="32">
        <f>IF(Osvetlení!E24="ano",1,0)</f>
        <v>0</v>
      </c>
      <c r="D98" s="20">
        <f>IF(B98=1,Osvetlení!E23,0)</f>
        <v>0</v>
      </c>
      <c r="E98" s="20">
        <f>IF(C98=1,Osvetlení!E25,0)</f>
        <v>0</v>
      </c>
      <c r="F98" s="20">
        <f>IF(C98=0,Osvetlení!E26,0)</f>
        <v>0</v>
      </c>
      <c r="G98" s="33" t="str">
        <f>IFERROR(IF(E98&gt;0, E98/D98,IF((F98)&gt;0,F98,"Uveďte buď celkový příkon nebo průměrný příkon")),"Uveďte buď celkový příkon nebo průměrný příkon")</f>
        <v>Uveďte buď celkový příkon nebo průměrný příkon</v>
      </c>
      <c r="H98" s="33">
        <f>IFERROR(VLOOKUP(G98,Osvetlení_parametry!$C$2:$F$116,4,1),0)</f>
        <v>0</v>
      </c>
      <c r="J98" s="255" t="s">
        <v>871</v>
      </c>
      <c r="K98" s="254">
        <f t="shared" si="8"/>
        <v>0</v>
      </c>
      <c r="L98" s="255">
        <f>L96-L97</f>
        <v>0</v>
      </c>
      <c r="M98" s="254">
        <f>IFERROR($O$59/100*M93,0)</f>
        <v>0</v>
      </c>
      <c r="N98" s="254">
        <f>IFERROR($O$59/100*N93,0)</f>
        <v>0</v>
      </c>
      <c r="O98" s="234">
        <f t="shared" si="7"/>
        <v>0</v>
      </c>
    </row>
    <row r="99" spans="1:15">
      <c r="A99" s="20" t="s">
        <v>136</v>
      </c>
      <c r="B99" s="32">
        <f>IF(Osvetlení!E28="ano",1,0)</f>
        <v>0</v>
      </c>
      <c r="C99" s="32">
        <f>IF(Osvetlení!E30="ano",1,0)</f>
        <v>0</v>
      </c>
      <c r="D99" s="20">
        <f>IF(B99=1,Osvetlení!E29,0)</f>
        <v>0</v>
      </c>
      <c r="E99" s="20">
        <f>IF(C99=1,Osvetlení!E31,0)</f>
        <v>0</v>
      </c>
      <c r="F99" s="20">
        <f>IF(C99=0,Osvetlení!E32,0)</f>
        <v>0</v>
      </c>
      <c r="G99" s="33" t="str">
        <f>IFERROR(IF(E99&gt;0, E99/D99,IF((F99)&gt;0,F99,"Uveďte buď celkový příkon nebo průměrný příkon")),"Uveďte buď celkový příkon nebo průměrný příkon")</f>
        <v>Uveďte buď celkový příkon nebo průměrný příkon</v>
      </c>
      <c r="H99" s="33">
        <f>IFERROR(VLOOKUP(G99,Osvetlení_parametry!$D$2:$F$116,3,1),0)</f>
        <v>0</v>
      </c>
      <c r="J99" s="226" t="s">
        <v>872</v>
      </c>
      <c r="K99" s="234">
        <f>N75</f>
        <v>0</v>
      </c>
      <c r="L99" s="226">
        <f>IFERROR(IF(AND(parametry!B109=TRUE,Kotel!E4="kotel na tuhá paliva"),VLOOKUP(CONCATENATE(Kotel!E4,"-",Kotel!E5,"-",Kotel!E6),parametry!E1:L17,8,0)/100*L93,VLOOKUP(E75,$A$52:$O$59,15,0)/100*L92),0)</f>
        <v>0</v>
      </c>
      <c r="M99" s="234">
        <f>IFERROR($O$59/100*M93,0)</f>
        <v>0</v>
      </c>
      <c r="N99" s="234">
        <f>IFERROR($O$59/100*N93,0)</f>
        <v>0</v>
      </c>
      <c r="O99" s="234">
        <f t="shared" si="7"/>
        <v>0</v>
      </c>
    </row>
    <row r="100" spans="1:15">
      <c r="D100" s="20">
        <f>SUM(D95:D99)</f>
        <v>0</v>
      </c>
      <c r="G100" s="33">
        <f>SUMPRODUCT(D95:D99,G95:G99)</f>
        <v>0</v>
      </c>
      <c r="H100" s="33">
        <f>SUMPRODUCT(D95:D99,H95:H99)</f>
        <v>0</v>
      </c>
      <c r="J100" s="226" t="s">
        <v>873</v>
      </c>
      <c r="K100" s="234">
        <f t="shared" ref="K100:K101" si="9">N76</f>
        <v>0</v>
      </c>
      <c r="L100" s="226">
        <f>IFERROR(VLOOKUP(E76,$A$52:$O$59,15,0)/100*L94,0)</f>
        <v>0</v>
      </c>
      <c r="M100" s="234">
        <f>IFERROR($O$59/100*M94,0)</f>
        <v>0</v>
      </c>
      <c r="N100" s="234">
        <f>IFERROR($O$59/100*N94,0)</f>
        <v>0</v>
      </c>
      <c r="O100" s="234">
        <f t="shared" si="7"/>
        <v>0</v>
      </c>
    </row>
    <row r="101" spans="1:15">
      <c r="C101" s="33">
        <f>G100</f>
        <v>0</v>
      </c>
      <c r="F101" s="33"/>
      <c r="J101" s="255" t="s">
        <v>874</v>
      </c>
      <c r="K101" s="254">
        <f t="shared" si="9"/>
        <v>0</v>
      </c>
      <c r="L101" s="255">
        <f>L99-L100</f>
        <v>0</v>
      </c>
      <c r="M101" s="254">
        <f>M99-M100</f>
        <v>0</v>
      </c>
      <c r="N101" s="254">
        <f>N99-N100</f>
        <v>0</v>
      </c>
      <c r="O101" s="234">
        <f t="shared" si="7"/>
        <v>0</v>
      </c>
    </row>
    <row r="102" spans="1:15">
      <c r="C102" s="33">
        <f>H100</f>
        <v>0</v>
      </c>
      <c r="F102" s="33"/>
    </row>
    <row r="103" spans="1:15">
      <c r="C103" s="33">
        <f>IFERROR(G100/D100,0)</f>
        <v>0</v>
      </c>
      <c r="F103" s="33"/>
    </row>
    <row r="104" spans="1:15">
      <c r="C104" s="33">
        <f>IFERROR(H100/D100,0)</f>
        <v>0</v>
      </c>
      <c r="F104" s="33"/>
    </row>
    <row r="105" spans="1:15">
      <c r="C105" s="20">
        <f>IFERROR(Osvetlení!D43*1000/C101,0)</f>
        <v>0</v>
      </c>
    </row>
    <row r="108" spans="1:15">
      <c r="A108" s="31" t="s">
        <v>158</v>
      </c>
      <c r="D108" s="20" t="s">
        <v>221</v>
      </c>
      <c r="E108" s="20" t="s">
        <v>222</v>
      </c>
    </row>
    <row r="109" spans="1:15">
      <c r="A109" s="20" t="s">
        <v>220</v>
      </c>
      <c r="B109" s="29" t="b">
        <v>0</v>
      </c>
      <c r="D109" s="20" t="b">
        <f>IF('Hlavní list'!C29="List Kotel je celý vyplněn",TRUE,FALSE)</f>
        <v>0</v>
      </c>
      <c r="E109" s="20" t="b">
        <f>IF(B109=TRUE,IF(D109=TRUE,TRUE,FALSE),IF(B109=FALSE,TRUE,FALSE))</f>
        <v>1</v>
      </c>
    </row>
    <row r="110" spans="1:15">
      <c r="A110" s="20" t="s">
        <v>642</v>
      </c>
      <c r="B110" s="29" t="b">
        <v>0</v>
      </c>
      <c r="D110" s="20" t="b">
        <f>IF('Hlavní list'!C28="List Zateplení je celý vyplněn",TRUE,FALSE)</f>
        <v>0</v>
      </c>
      <c r="E110" s="20" t="b">
        <f>IF(B110=TRUE,IF(D110=TRUE,TRUE,FALSE),IF(B110=FALSE,TRUE,FALSE))</f>
        <v>1</v>
      </c>
    </row>
    <row r="111" spans="1:15">
      <c r="A111" s="20" t="s">
        <v>643</v>
      </c>
      <c r="B111" s="29" t="b">
        <v>0</v>
      </c>
      <c r="D111" s="20" t="b">
        <f>IF('Hlavní list'!C30="List Osvětlení je celý vyplněn",TRUE,FALSE)</f>
        <v>0</v>
      </c>
      <c r="E111" s="20" t="b">
        <f>IF(B111=TRUE,IF(D111=TRUE,TRUE,FALSE),IF(B111=FALSE,TRUE,FALSE))</f>
        <v>1</v>
      </c>
    </row>
    <row r="112" spans="1:15">
      <c r="A112" s="20" t="s">
        <v>925</v>
      </c>
      <c r="B112" s="29" t="b">
        <v>0</v>
      </c>
      <c r="D112" s="20" t="b">
        <f>IF(parametry!B112=FALSE,TRUE,IF(AND(FVE!E4&lt;&gt;0,FVE!E5&lt;&gt;0,OR(FVE!E8&lt;&gt;0,FVE!E7&lt;&gt;0),FVE!E6&lt;&gt;""),TRUE,FALSE))</f>
        <v>1</v>
      </c>
      <c r="E112" s="20" t="b">
        <f>IF(B112=TRUE,IF(D112=TRUE,TRUE,FALSE),IF(B112=FALSE,TRUE,FALSE))</f>
        <v>1</v>
      </c>
    </row>
    <row r="113" spans="1:5">
      <c r="A113" s="20" t="s">
        <v>233</v>
      </c>
      <c r="B113" s="29" t="b">
        <f>IF(AND(B109=FALSE,B110=FALSE,B111=FALSE,B112=FALSE),TRUE,FALSE)</f>
        <v>1</v>
      </c>
      <c r="E113" s="20" t="b">
        <f>IF(B113=TRUE,FALSE,IF(AND(E109,E110,E111,E112)=TRUE,TRUE,FALSE))</f>
        <v>0</v>
      </c>
    </row>
    <row r="115" spans="1:5">
      <c r="A115" s="20" t="s">
        <v>159</v>
      </c>
    </row>
    <row r="116" spans="1:5">
      <c r="A116" s="21">
        <f>Kotel!D31+Zateplení!D111+Osvetlení!D43</f>
        <v>0</v>
      </c>
    </row>
    <row r="117" spans="1:5">
      <c r="A117" s="21"/>
    </row>
    <row r="118" spans="1:5">
      <c r="A118" s="31" t="s">
        <v>169</v>
      </c>
    </row>
    <row r="119" spans="1:5">
      <c r="A119" s="20" t="s">
        <v>240</v>
      </c>
      <c r="B119" s="20">
        <v>1</v>
      </c>
    </row>
    <row r="120" spans="1:5">
      <c r="A120" s="20" t="s">
        <v>404</v>
      </c>
      <c r="B120" s="20">
        <v>2</v>
      </c>
    </row>
    <row r="121" spans="1:5">
      <c r="A121" s="31" t="s">
        <v>402</v>
      </c>
    </row>
    <row r="122" spans="1:5">
      <c r="A122" s="20" t="s">
        <v>237</v>
      </c>
      <c r="B122" s="20">
        <v>1</v>
      </c>
    </row>
    <row r="123" spans="1:5">
      <c r="A123" s="20" t="s">
        <v>405</v>
      </c>
      <c r="B123" s="20">
        <v>2</v>
      </c>
    </row>
    <row r="124" spans="1:5">
      <c r="A124" s="20" t="s">
        <v>406</v>
      </c>
      <c r="B124" s="20">
        <v>3</v>
      </c>
    </row>
    <row r="125" spans="1:5">
      <c r="A125" s="20" t="s">
        <v>407</v>
      </c>
      <c r="B125" s="20">
        <v>4</v>
      </c>
    </row>
    <row r="126" spans="1:5">
      <c r="A126" s="20" t="s">
        <v>408</v>
      </c>
      <c r="B126" s="20">
        <v>5</v>
      </c>
    </row>
    <row r="127" spans="1:5">
      <c r="A127" s="20" t="s">
        <v>409</v>
      </c>
      <c r="B127" s="20">
        <v>6</v>
      </c>
    </row>
    <row r="128" spans="1:5">
      <c r="A128" s="20" t="s">
        <v>410</v>
      </c>
      <c r="B128" s="20">
        <v>7</v>
      </c>
    </row>
    <row r="129" spans="1:11">
      <c r="A129" s="20" t="s">
        <v>411</v>
      </c>
      <c r="B129" s="20">
        <v>8</v>
      </c>
    </row>
    <row r="130" spans="1:11">
      <c r="A130" s="20" t="s">
        <v>412</v>
      </c>
      <c r="B130" s="20">
        <v>9</v>
      </c>
    </row>
    <row r="136" spans="1:11">
      <c r="A136" s="20" t="s">
        <v>413</v>
      </c>
      <c r="B136" s="112" t="str">
        <f>IF(ISBLANK(Zateplení!F4),"",VLOOKUP(Zateplení!F4,parametry!$A$119:$B$120,2,0))</f>
        <v/>
      </c>
    </row>
    <row r="137" spans="1:11">
      <c r="A137" s="20" t="s">
        <v>402</v>
      </c>
      <c r="B137" s="112">
        <f>IFERROR(VLOOKUP(Zateplení!F5,A122:B130,2,0),0)</f>
        <v>0</v>
      </c>
    </row>
    <row r="138" spans="1:11">
      <c r="A138" s="20" t="s">
        <v>403</v>
      </c>
      <c r="B138" s="112">
        <f>Zateplení!F6</f>
        <v>0</v>
      </c>
    </row>
    <row r="139" spans="1:11">
      <c r="A139" s="34" t="s">
        <v>44</v>
      </c>
      <c r="B139" s="113">
        <f>Zateplení!F10</f>
        <v>0</v>
      </c>
      <c r="C139" s="35"/>
      <c r="D139" s="35"/>
      <c r="E139" s="35"/>
      <c r="F139" s="35"/>
      <c r="G139" s="35"/>
      <c r="H139" s="35"/>
      <c r="I139" s="35"/>
      <c r="J139" s="35"/>
      <c r="K139" s="35"/>
    </row>
    <row r="140" spans="1:11">
      <c r="A140" s="34" t="s">
        <v>45</v>
      </c>
      <c r="B140" s="113">
        <f>Zateplení!F9</f>
        <v>0</v>
      </c>
      <c r="C140" s="35"/>
      <c r="D140" s="35"/>
      <c r="E140" s="35"/>
      <c r="F140" s="35"/>
      <c r="G140" s="35"/>
      <c r="H140" s="35"/>
      <c r="I140" s="35"/>
      <c r="J140" s="35"/>
      <c r="K140" s="35"/>
    </row>
    <row r="141" spans="1:11">
      <c r="A141" s="34" t="s">
        <v>416</v>
      </c>
      <c r="B141" s="113">
        <f>Zateplení!F11</f>
        <v>0</v>
      </c>
      <c r="C141" s="114">
        <f>IF(AND(B141&gt;=18,B141&lt;=22),1,16/(B141-4))</f>
        <v>-4</v>
      </c>
      <c r="D141" s="35"/>
      <c r="E141" s="35"/>
      <c r="F141" s="35"/>
      <c r="G141" s="35"/>
      <c r="H141" s="35"/>
      <c r="I141" s="35"/>
      <c r="J141" s="35"/>
      <c r="K141" s="35"/>
    </row>
    <row r="142" spans="1:11">
      <c r="A142" s="34" t="s">
        <v>422</v>
      </c>
      <c r="B142" s="113">
        <v>-12</v>
      </c>
      <c r="C142" s="114" t="s">
        <v>423</v>
      </c>
      <c r="D142" s="35"/>
      <c r="E142" s="35"/>
      <c r="F142" s="35"/>
      <c r="G142" s="35"/>
      <c r="H142" s="35"/>
      <c r="I142" s="35"/>
      <c r="J142" s="35"/>
      <c r="K142" s="35"/>
    </row>
    <row r="143" spans="1:11">
      <c r="A143" s="34" t="s">
        <v>424</v>
      </c>
      <c r="B143" s="113">
        <v>3.9</v>
      </c>
      <c r="C143" s="114" t="s">
        <v>423</v>
      </c>
      <c r="D143" s="35"/>
      <c r="E143" s="35"/>
      <c r="F143" s="35"/>
      <c r="G143" s="35"/>
      <c r="H143" s="35"/>
      <c r="I143" s="35"/>
      <c r="J143" s="35"/>
      <c r="K143" s="35"/>
    </row>
    <row r="144" spans="1:11">
      <c r="A144" s="34" t="s">
        <v>425</v>
      </c>
      <c r="B144" s="113">
        <v>242</v>
      </c>
      <c r="C144" s="114" t="s">
        <v>423</v>
      </c>
      <c r="D144" s="35"/>
      <c r="E144" s="35"/>
      <c r="F144" s="35"/>
      <c r="G144" s="35"/>
      <c r="H144" s="35"/>
      <c r="I144" s="35"/>
      <c r="J144" s="35"/>
      <c r="K144" s="35"/>
    </row>
    <row r="145" spans="1:11">
      <c r="A145" s="34" t="s">
        <v>426</v>
      </c>
      <c r="B145" s="113">
        <f>(B141-B143)*B144</f>
        <v>-943.8</v>
      </c>
      <c r="C145" s="114"/>
      <c r="D145" s="35"/>
      <c r="E145" s="35"/>
      <c r="F145" s="35"/>
      <c r="G145" s="35"/>
      <c r="H145" s="35"/>
      <c r="I145" s="35"/>
      <c r="J145" s="35"/>
      <c r="K145" s="35"/>
    </row>
    <row r="146" spans="1:11">
      <c r="A146" s="34"/>
      <c r="B146" s="113"/>
      <c r="C146" s="114"/>
      <c r="D146" s="35"/>
      <c r="E146" s="35"/>
      <c r="F146" s="35"/>
      <c r="G146" s="35"/>
      <c r="H146" s="35"/>
      <c r="I146" s="35"/>
      <c r="J146" s="35"/>
      <c r="K146" s="35"/>
    </row>
    <row r="147" spans="1:11">
      <c r="A147" s="34"/>
      <c r="B147" s="113"/>
      <c r="C147" s="114"/>
      <c r="D147" s="35"/>
      <c r="E147" s="35"/>
      <c r="F147" s="35"/>
      <c r="G147" s="35"/>
      <c r="H147" s="35"/>
      <c r="I147" s="35"/>
      <c r="J147" s="35"/>
      <c r="K147" s="35"/>
    </row>
    <row r="148" spans="1:11">
      <c r="A148" s="34"/>
      <c r="B148" s="113"/>
      <c r="C148" s="114"/>
      <c r="D148" s="35"/>
      <c r="E148" s="35"/>
      <c r="F148" s="35"/>
      <c r="G148" s="35"/>
      <c r="H148" s="35"/>
      <c r="I148" s="35"/>
      <c r="J148" s="35"/>
      <c r="K148" s="35"/>
    </row>
    <row r="149" spans="1:11">
      <c r="A149" s="34" t="s">
        <v>414</v>
      </c>
      <c r="B149" s="36">
        <f>IF(Zateplení!F7="ano",Zateplení!F8,0)</f>
        <v>0</v>
      </c>
      <c r="C149" s="35" t="s">
        <v>3</v>
      </c>
      <c r="D149" s="35"/>
      <c r="E149" s="35"/>
      <c r="F149" s="35"/>
      <c r="G149" s="35"/>
      <c r="H149" s="35"/>
      <c r="I149" s="35"/>
      <c r="J149" s="35"/>
      <c r="K149" s="35"/>
    </row>
    <row r="150" spans="1:11">
      <c r="A150" s="37"/>
      <c r="B150" s="37"/>
      <c r="C150" s="35"/>
      <c r="D150" s="35"/>
      <c r="E150" s="35"/>
      <c r="F150" s="35"/>
      <c r="G150" s="35"/>
      <c r="H150" s="35"/>
      <c r="I150" s="35"/>
      <c r="J150" s="35"/>
      <c r="K150" s="35"/>
    </row>
    <row r="151" spans="1:11" ht="25.5">
      <c r="A151" s="38" t="s">
        <v>25</v>
      </c>
      <c r="B151" s="35"/>
      <c r="C151" s="35"/>
      <c r="D151" s="35"/>
      <c r="E151" s="35"/>
      <c r="F151" s="35"/>
      <c r="G151" s="35"/>
      <c r="H151" s="35"/>
      <c r="I151" s="35"/>
      <c r="J151" s="35"/>
      <c r="K151" s="35"/>
    </row>
    <row r="152" spans="1:11">
      <c r="A152" s="38" t="s">
        <v>777</v>
      </c>
      <c r="B152" s="38" t="s">
        <v>26</v>
      </c>
      <c r="C152" s="35"/>
      <c r="D152" s="35"/>
      <c r="E152" s="35"/>
      <c r="F152" s="35"/>
      <c r="G152" s="35"/>
      <c r="H152" s="35"/>
      <c r="I152" s="35"/>
      <c r="J152" s="35"/>
      <c r="K152" s="35"/>
    </row>
    <row r="153" spans="1:11">
      <c r="A153" s="38" t="s">
        <v>19</v>
      </c>
      <c r="B153" s="38">
        <v>170</v>
      </c>
      <c r="C153" s="38"/>
      <c r="D153" s="35"/>
      <c r="E153" s="35"/>
      <c r="F153" s="35"/>
      <c r="G153" s="35"/>
      <c r="H153" s="35"/>
      <c r="I153" s="35"/>
      <c r="J153" s="35"/>
      <c r="K153" s="35"/>
    </row>
    <row r="154" spans="1:11">
      <c r="A154" s="38" t="s">
        <v>20</v>
      </c>
      <c r="B154" s="38">
        <v>180</v>
      </c>
      <c r="C154" s="38"/>
      <c r="D154" s="35"/>
      <c r="E154" s="35"/>
      <c r="F154" s="35"/>
      <c r="G154" s="35"/>
      <c r="H154" s="35"/>
      <c r="I154" s="35"/>
      <c r="J154" s="35"/>
      <c r="K154" s="35"/>
    </row>
    <row r="155" spans="1:11">
      <c r="A155" s="38" t="s">
        <v>21</v>
      </c>
      <c r="B155" s="38">
        <v>180</v>
      </c>
      <c r="C155" s="38"/>
      <c r="D155" s="35"/>
      <c r="E155" s="35"/>
      <c r="F155" s="35"/>
      <c r="G155" s="35"/>
      <c r="H155" s="35"/>
      <c r="I155" s="35"/>
      <c r="J155" s="35"/>
      <c r="K155" s="35"/>
    </row>
    <row r="156" spans="1:11">
      <c r="A156" s="38" t="s">
        <v>22</v>
      </c>
      <c r="B156" s="38">
        <v>220</v>
      </c>
      <c r="C156" s="38"/>
      <c r="D156" s="35"/>
      <c r="E156" s="35"/>
      <c r="F156" s="35"/>
      <c r="G156" s="35"/>
      <c r="H156" s="35"/>
      <c r="I156" s="35"/>
      <c r="J156" s="35"/>
      <c r="K156" s="35"/>
    </row>
    <row r="157" spans="1:11">
      <c r="A157" s="38" t="s">
        <v>23</v>
      </c>
      <c r="B157" s="38">
        <v>130</v>
      </c>
      <c r="C157" s="38"/>
      <c r="D157" s="35"/>
      <c r="E157" s="35"/>
      <c r="F157" s="35"/>
      <c r="G157" s="35"/>
      <c r="H157" s="35"/>
      <c r="I157" s="35"/>
      <c r="J157" s="35"/>
      <c r="K157" s="35"/>
    </row>
    <row r="158" spans="1:11">
      <c r="A158" s="38" t="s">
        <v>24</v>
      </c>
      <c r="B158" s="38">
        <v>100</v>
      </c>
      <c r="C158" s="38"/>
      <c r="D158" s="35"/>
      <c r="E158" s="35"/>
      <c r="F158" s="35"/>
      <c r="G158" s="35"/>
      <c r="H158" s="35"/>
      <c r="I158" s="35"/>
      <c r="J158" s="35"/>
      <c r="K158" s="35"/>
    </row>
    <row r="159" spans="1:11">
      <c r="A159" s="38" t="s">
        <v>46</v>
      </c>
      <c r="B159" s="39">
        <f>AVERAGE(B153:B158)</f>
        <v>163.33333333333334</v>
      </c>
      <c r="C159" s="39"/>
      <c r="D159" s="35"/>
      <c r="E159" s="35"/>
      <c r="F159" s="35"/>
      <c r="G159" s="35"/>
      <c r="H159" s="35"/>
      <c r="I159" s="35"/>
      <c r="J159" s="35"/>
      <c r="K159" s="35"/>
    </row>
    <row r="160" spans="1:11">
      <c r="A160" s="35"/>
      <c r="B160" s="35"/>
      <c r="C160" s="35"/>
      <c r="D160" s="35"/>
      <c r="E160" s="35"/>
      <c r="F160" s="35"/>
      <c r="G160" s="35"/>
      <c r="H160" s="35"/>
      <c r="I160" s="35"/>
      <c r="J160" s="35"/>
      <c r="K160" s="35"/>
    </row>
    <row r="161" spans="1:11">
      <c r="A161" s="38" t="s">
        <v>47</v>
      </c>
      <c r="B161" s="36" t="e">
        <f>IF(AND(ISNUMBER(B149),Zateplení!F7="ano")=TRUE,(B149)/B140,VLOOKUP(B139,$A$153:$B$158,2,0))</f>
        <v>#N/A</v>
      </c>
      <c r="C161" s="36" t="s">
        <v>48</v>
      </c>
      <c r="D161" s="35"/>
      <c r="E161" s="35"/>
      <c r="F161" s="35"/>
      <c r="G161" s="35"/>
      <c r="H161" s="35"/>
      <c r="I161" s="35"/>
      <c r="J161" s="35"/>
      <c r="K161" s="35"/>
    </row>
    <row r="162" spans="1:11">
      <c r="A162" s="38" t="s">
        <v>415</v>
      </c>
      <c r="B162" s="36" t="e">
        <f>IF(B149=0,B140*B161,B149)</f>
        <v>#N/A</v>
      </c>
      <c r="C162" s="36" t="s">
        <v>3</v>
      </c>
      <c r="D162" s="35"/>
      <c r="E162" s="35"/>
      <c r="F162" s="35"/>
      <c r="G162" s="35"/>
      <c r="H162" s="35"/>
      <c r="I162" s="35"/>
      <c r="J162" s="35"/>
      <c r="K162" s="35"/>
    </row>
    <row r="163" spans="1:11">
      <c r="A163" s="38" t="s">
        <v>415</v>
      </c>
      <c r="B163" s="36" t="e">
        <f>B162/1000*3.6</f>
        <v>#N/A</v>
      </c>
      <c r="C163" s="36" t="s">
        <v>1</v>
      </c>
      <c r="D163" s="35" t="s">
        <v>421</v>
      </c>
      <c r="E163" s="35"/>
      <c r="F163" s="35"/>
      <c r="G163" s="35"/>
      <c r="H163" s="35"/>
      <c r="I163" s="35"/>
      <c r="J163" s="35"/>
      <c r="K163" s="35"/>
    </row>
    <row r="164" spans="1:11">
      <c r="A164" s="35"/>
      <c r="B164" s="35"/>
      <c r="C164" s="35"/>
      <c r="D164" s="35"/>
      <c r="E164" s="35"/>
      <c r="F164" s="35"/>
      <c r="G164" s="35"/>
      <c r="H164" s="35"/>
      <c r="I164" s="35"/>
      <c r="J164" s="35"/>
      <c r="K164" s="35"/>
    </row>
    <row r="165" spans="1:11">
      <c r="A165" s="38" t="s">
        <v>49</v>
      </c>
      <c r="B165" s="38" t="s">
        <v>50</v>
      </c>
      <c r="C165" s="35" t="s">
        <v>398</v>
      </c>
      <c r="D165" s="35"/>
      <c r="E165" s="35"/>
      <c r="F165" s="35"/>
      <c r="G165" s="35"/>
      <c r="H165" s="35"/>
      <c r="I165" s="35"/>
      <c r="J165" s="35"/>
      <c r="K165" s="35"/>
    </row>
    <row r="166" spans="1:11">
      <c r="A166" s="38" t="s">
        <v>53</v>
      </c>
      <c r="B166" s="40">
        <f>Zateplení!F28</f>
        <v>0</v>
      </c>
      <c r="C166" s="114" t="e">
        <f>VLOOKUP(CONCATENATE($B$139,"-",parametry!B166),budova!$D$70:$G$304,2,0)</f>
        <v>#N/A</v>
      </c>
      <c r="G166" s="35"/>
      <c r="H166" s="35"/>
      <c r="I166" s="35"/>
      <c r="J166" s="35"/>
      <c r="K166" s="35"/>
    </row>
    <row r="167" spans="1:11">
      <c r="A167" s="38">
        <f>Zateplení!F29</f>
        <v>0</v>
      </c>
      <c r="B167" s="40">
        <f>Zateplení!F30</f>
        <v>0</v>
      </c>
      <c r="C167" s="114" t="e">
        <f>VLOOKUP(CONCATENATE($B$139,"-",parametry!B167),budova!$D$70:$G$304,2,0)</f>
        <v>#N/A</v>
      </c>
      <c r="G167" s="35"/>
      <c r="H167" s="35"/>
      <c r="I167" s="35"/>
      <c r="J167" s="35"/>
      <c r="K167" s="35"/>
    </row>
    <row r="168" spans="1:11">
      <c r="A168" s="38">
        <f>Zateplení!F31</f>
        <v>0</v>
      </c>
      <c r="B168" s="40">
        <f>Zateplení!F32</f>
        <v>0</v>
      </c>
      <c r="C168" s="114" t="e">
        <f>VLOOKUP(CONCATENATE($B$139,"-",parametry!B168),budova!$D$70:$G$304,2,0)</f>
        <v>#N/A</v>
      </c>
      <c r="G168" s="35"/>
      <c r="H168" s="35"/>
      <c r="I168" s="35"/>
      <c r="J168" s="35"/>
      <c r="K168" s="35"/>
    </row>
    <row r="169" spans="1:11">
      <c r="A169" s="38" t="s">
        <v>51</v>
      </c>
      <c r="B169" s="40">
        <f>Zateplení!F33</f>
        <v>0</v>
      </c>
      <c r="C169" s="114" t="e">
        <f>VLOOKUP(CONCATENATE($B$139,"-",parametry!B169),budova!$D$70:$G$304,2,0)</f>
        <v>#N/A</v>
      </c>
      <c r="G169" s="35"/>
      <c r="H169" s="35"/>
      <c r="I169" s="35"/>
      <c r="J169" s="35"/>
      <c r="K169" s="35"/>
    </row>
    <row r="170" spans="1:11">
      <c r="A170" s="38" t="s">
        <v>397</v>
      </c>
      <c r="B170" s="40">
        <f>Zateplení!F34</f>
        <v>0</v>
      </c>
      <c r="C170" s="114" t="e">
        <f>VLOOKUP(CONCATENATE($B$139,"-",parametry!B170),budova!$D$70:$G$304,2,0)</f>
        <v>#N/A</v>
      </c>
      <c r="G170" s="35"/>
      <c r="H170" s="35"/>
      <c r="I170" s="35"/>
      <c r="J170" s="35"/>
      <c r="K170" s="35"/>
    </row>
    <row r="171" spans="1:11">
      <c r="A171" s="38" t="s">
        <v>52</v>
      </c>
      <c r="B171" s="40">
        <f>Zateplení!F35</f>
        <v>0</v>
      </c>
      <c r="C171" s="114" t="e">
        <f>VLOOKUP(CONCATENATE($B$139,"-",parametry!B171),budova!$D$70:$G$304,2,0)</f>
        <v>#N/A</v>
      </c>
      <c r="G171" s="35"/>
      <c r="H171" s="35"/>
      <c r="I171" s="35"/>
      <c r="J171" s="35"/>
      <c r="K171" s="35"/>
    </row>
    <row r="172" spans="1:11">
      <c r="D172" s="35"/>
      <c r="E172" s="35"/>
      <c r="F172" s="35"/>
      <c r="G172" s="35"/>
      <c r="H172" s="35"/>
      <c r="I172" s="35"/>
      <c r="J172" s="35"/>
      <c r="K172" s="35"/>
    </row>
    <row r="173" spans="1:11">
      <c r="A173" s="35"/>
      <c r="B173" s="35"/>
      <c r="C173" s="35"/>
      <c r="D173" s="35"/>
      <c r="E173" s="35"/>
      <c r="F173" s="35"/>
      <c r="G173" s="35"/>
      <c r="H173" s="35"/>
      <c r="I173" s="35"/>
      <c r="J173" s="35"/>
      <c r="K173" s="35"/>
    </row>
    <row r="174" spans="1:11" ht="25.5">
      <c r="A174" s="38" t="s">
        <v>55</v>
      </c>
      <c r="B174" s="38" t="s">
        <v>56</v>
      </c>
      <c r="C174" s="38" t="s">
        <v>57</v>
      </c>
      <c r="D174" s="38" t="s">
        <v>58</v>
      </c>
      <c r="E174" s="38" t="s">
        <v>59</v>
      </c>
      <c r="F174" s="38" t="s">
        <v>60</v>
      </c>
      <c r="G174" s="38" t="s">
        <v>61</v>
      </c>
      <c r="H174" s="38" t="s">
        <v>62</v>
      </c>
      <c r="I174" s="38" t="s">
        <v>63</v>
      </c>
      <c r="J174" s="38" t="s">
        <v>64</v>
      </c>
      <c r="K174" s="38" t="s">
        <v>65</v>
      </c>
    </row>
    <row r="175" spans="1:11">
      <c r="A175" s="38"/>
      <c r="B175" s="41"/>
      <c r="C175" s="41"/>
      <c r="D175" s="42"/>
      <c r="E175" s="42"/>
      <c r="F175" s="42"/>
      <c r="G175" s="42"/>
      <c r="H175" s="43"/>
      <c r="I175" s="43"/>
      <c r="J175" s="44"/>
      <c r="K175" s="45"/>
    </row>
    <row r="176" spans="1:11">
      <c r="A176" s="38"/>
      <c r="B176" s="41"/>
      <c r="C176" s="41"/>
      <c r="D176" s="42"/>
      <c r="E176" s="41"/>
      <c r="F176" s="41"/>
      <c r="G176" s="41"/>
      <c r="H176" s="43"/>
      <c r="I176" s="43"/>
      <c r="J176" s="44"/>
      <c r="K176" s="45"/>
    </row>
    <row r="177" spans="1:20">
      <c r="A177" s="38"/>
      <c r="B177" s="41"/>
      <c r="C177" s="41"/>
      <c r="D177" s="42"/>
      <c r="E177" s="41"/>
      <c r="F177" s="41"/>
      <c r="G177" s="41"/>
      <c r="H177" s="43"/>
      <c r="I177" s="43"/>
      <c r="J177" s="44"/>
      <c r="K177" s="45"/>
    </row>
    <row r="178" spans="1:20">
      <c r="A178" s="38"/>
      <c r="B178" s="41"/>
      <c r="C178" s="41"/>
      <c r="D178" s="42"/>
      <c r="E178" s="41"/>
      <c r="F178" s="46"/>
      <c r="G178" s="41"/>
      <c r="H178" s="43"/>
      <c r="I178" s="43"/>
      <c r="J178" s="44"/>
      <c r="K178" s="45"/>
    </row>
    <row r="179" spans="1:20">
      <c r="A179" s="35"/>
      <c r="B179" s="35"/>
      <c r="C179" s="35"/>
      <c r="D179" s="35"/>
      <c r="E179" s="35"/>
      <c r="F179" s="35"/>
      <c r="G179" s="35"/>
      <c r="H179" s="35"/>
      <c r="I179" s="35"/>
      <c r="J179" s="35"/>
      <c r="K179" s="35"/>
    </row>
    <row r="180" spans="1:20">
      <c r="A180" s="38" t="s">
        <v>67</v>
      </c>
      <c r="B180" s="36"/>
      <c r="C180" s="36" t="s">
        <v>48</v>
      </c>
      <c r="D180" s="35"/>
      <c r="E180" s="35"/>
      <c r="F180" s="35"/>
      <c r="G180" s="35"/>
      <c r="H180" s="35"/>
      <c r="I180" s="35"/>
      <c r="J180" s="35"/>
      <c r="K180" s="35"/>
    </row>
    <row r="181" spans="1:20">
      <c r="A181" s="38" t="s">
        <v>68</v>
      </c>
      <c r="B181" s="36"/>
      <c r="C181" s="36" t="s">
        <v>10</v>
      </c>
      <c r="D181" s="35"/>
      <c r="E181" s="35"/>
      <c r="F181" s="35"/>
      <c r="G181" s="35"/>
      <c r="H181" s="35"/>
      <c r="I181" s="35"/>
      <c r="J181" s="35"/>
      <c r="K181" s="35"/>
    </row>
    <row r="182" spans="1:20">
      <c r="A182" s="35"/>
      <c r="B182" s="35"/>
      <c r="C182" s="35"/>
      <c r="D182" s="35"/>
      <c r="E182" s="35"/>
      <c r="F182" s="35"/>
      <c r="G182" s="35"/>
      <c r="H182" s="35"/>
      <c r="I182" s="35"/>
      <c r="J182" s="35"/>
      <c r="K182" s="35"/>
    </row>
    <row r="183" spans="1:20">
      <c r="A183" s="35"/>
      <c r="B183" s="35"/>
      <c r="C183" s="35"/>
      <c r="D183" s="35"/>
      <c r="E183" s="35"/>
      <c r="F183" s="35"/>
      <c r="G183" s="40"/>
      <c r="H183" s="35"/>
      <c r="I183" s="35"/>
      <c r="J183" s="35"/>
      <c r="K183" s="35"/>
    </row>
    <row r="184" spans="1:20">
      <c r="A184" s="35"/>
      <c r="B184" s="35"/>
      <c r="C184" s="35"/>
      <c r="D184" s="35"/>
      <c r="E184" s="35"/>
      <c r="F184" s="35"/>
      <c r="G184" s="35"/>
      <c r="H184" s="35"/>
      <c r="I184" s="35"/>
      <c r="J184" s="35"/>
      <c r="K184" s="35"/>
    </row>
    <row r="185" spans="1:20" ht="38.25">
      <c r="A185" s="38" t="s">
        <v>69</v>
      </c>
      <c r="B185" s="38" t="s">
        <v>56</v>
      </c>
      <c r="C185" s="38"/>
      <c r="D185" s="38" t="s">
        <v>58</v>
      </c>
      <c r="E185" s="38" t="s">
        <v>59</v>
      </c>
      <c r="F185" s="38" t="s">
        <v>418</v>
      </c>
      <c r="G185" s="38" t="s">
        <v>430</v>
      </c>
      <c r="H185" s="38" t="s">
        <v>429</v>
      </c>
      <c r="I185" s="38" t="s">
        <v>417</v>
      </c>
      <c r="J185" s="38" t="s">
        <v>428</v>
      </c>
      <c r="K185" s="38" t="s">
        <v>400</v>
      </c>
      <c r="M185" s="38" t="s">
        <v>401</v>
      </c>
      <c r="N185" s="38" t="s">
        <v>437</v>
      </c>
      <c r="O185" s="38" t="s">
        <v>690</v>
      </c>
      <c r="P185" s="38" t="s">
        <v>691</v>
      </c>
      <c r="Q185" s="38" t="s">
        <v>399</v>
      </c>
      <c r="R185" s="38" t="s">
        <v>427</v>
      </c>
      <c r="S185" s="38" t="s">
        <v>70</v>
      </c>
      <c r="T185" s="38"/>
    </row>
    <row r="186" spans="1:20">
      <c r="A186" s="38" t="s">
        <v>53</v>
      </c>
      <c r="B186" s="41" t="str">
        <f>IF(B110=FALSE,"ne",Zateplení!F58)</f>
        <v>ne</v>
      </c>
      <c r="C186" s="41"/>
      <c r="D186" s="40">
        <f>Zateplení!F59</f>
        <v>0</v>
      </c>
      <c r="E186" s="46">
        <f>Zateplení!F60</f>
        <v>0</v>
      </c>
      <c r="F186" s="20" t="e">
        <f>C166</f>
        <v>#N/A</v>
      </c>
      <c r="G186" s="20">
        <f>Zateplení!F62</f>
        <v>0</v>
      </c>
      <c r="H186" s="117" t="e">
        <f>1/(1/F186+E186/1000/VLOOKUP(D186,budova_opatření!$B$3:$D$38,2,0))+VLOOKUP(D186,budova_opatření!$B$3:$D$38,3,0)</f>
        <v>#N/A</v>
      </c>
      <c r="I186" s="20" t="e">
        <f>VLOOKUP(CONCATENATE($B$139,"-",parametry!B166),budova!$D$70:$G$304,3,0)</f>
        <v>#N/A</v>
      </c>
      <c r="J186" s="20" t="e">
        <f>VLOOKUP(CONCATENATE($B$139,"-",parametry!B166),budova!$D$70:$G$304,4,0)</f>
        <v>#N/A</v>
      </c>
      <c r="K186" s="28" t="e">
        <f>IF(AND($B$136=2,AND(Zateplení!$F$18&lt;=Zateplení!$F$19,Zateplení!$F$20&lt;=Zateplení!$F$21)),I186*$C$141,IF($B$138="ano","bez požadavku",IF(AND(OR($B$137=2,$B$137=3,$B$137=4),$B$163&lt;700),I186*$C$141,J186*$C$141)))</f>
        <v>#N/A</v>
      </c>
      <c r="L186" s="20" t="e">
        <f>IF(AND($B$136=2,AND(Zateplení!$F$18&lt;=Zateplení!$F$19,Zateplení!$F$20&lt;=Zateplení!$F$21)),"UN,20*e1",IF($B$138="ano","bez požadavku",IF(AND(OR($B$137=2,$B$137=3,$B$137=4),$B$163&lt;700),"UN,20*e1","Urec,20*e1")))</f>
        <v>#N/A</v>
      </c>
      <c r="M186" s="20" t="str">
        <f>IF(OR(B186="ne",B186=0),"",IF($B$138="ano","Bez požadavku na součinitel prostupu tepla",IF(B$136=2,IF(G186=0,"Zadejte součinitel prostupu tepla konstrukce",IF(G186&lt;=K186,"Konstrukce splňuje požadavky programu","Konstrukce nesplňuje požadavky programu")),IF(H186&lt;=K186,"Konstrukce splňuje požadavky programu","Konstrukce nesplňuje požadavky programu"))))</f>
        <v/>
      </c>
      <c r="N186" s="115">
        <f>Zateplení!F61</f>
        <v>0</v>
      </c>
      <c r="O186" s="193" t="e">
        <f>(F186)*$N186*($B$141-$B$142)/1000*24*$B$145/($B$141-$B$142)</f>
        <v>#N/A</v>
      </c>
      <c r="P186" s="193">
        <f t="shared" ref="P186:P191" si="10">IF(B186="NE",0,(H186)*$N186*($B$141-$B$142)/1000*24*$B$145/($B$141-$B$142))</f>
        <v>0</v>
      </c>
      <c r="Q186" s="193">
        <f>IF(B186="ne",0,O186-P186)</f>
        <v>0</v>
      </c>
      <c r="R186" s="115">
        <f t="shared" ref="R186:R192" si="11">Q186/1000*3.6</f>
        <v>0</v>
      </c>
      <c r="S186" s="45" t="e">
        <f t="shared" ref="S186:S193" si="12">Q186/$B$140</f>
        <v>#DIV/0!</v>
      </c>
      <c r="T186" s="47"/>
    </row>
    <row r="187" spans="1:20">
      <c r="A187" s="38">
        <f>A167</f>
        <v>0</v>
      </c>
      <c r="B187" s="41" t="str">
        <f>IF(B110=FALSE,"ne",Zateplení!F66)</f>
        <v>ne</v>
      </c>
      <c r="C187" s="41"/>
      <c r="D187" s="40">
        <f>Zateplení!F67</f>
        <v>0</v>
      </c>
      <c r="E187" s="46">
        <f>Zateplení!F68</f>
        <v>0</v>
      </c>
      <c r="F187" s="20" t="e">
        <f>C167</f>
        <v>#N/A</v>
      </c>
      <c r="G187" s="20">
        <f>Zateplení!F70</f>
        <v>0</v>
      </c>
      <c r="H187" s="117" t="e">
        <f>1/(1/F187+E187/1000/VLOOKUP(D187,budova_opatření!$B$3:$D$38,2,0))+VLOOKUP(D187,budova_opatření!$B$3:$D$38,3,0)</f>
        <v>#N/A</v>
      </c>
      <c r="I187" s="20" t="e">
        <f>VLOOKUP(CONCATENATE($B$139,"-",parametry!B167),budova!$D$70:$G$304,3,0)</f>
        <v>#N/A</v>
      </c>
      <c r="J187" s="20" t="e">
        <f>VLOOKUP(CONCATENATE($B$139,"-",parametry!B167),budova!$D$70:$G$304,4,0)</f>
        <v>#N/A</v>
      </c>
      <c r="K187" s="28" t="e">
        <f>IF(AND($B$136=2,AND(Zateplení!$F$18&lt;=Zateplení!$F$19,Zateplení!$F$20&lt;=Zateplení!$F$21)),I187*$C$141,IF($B$138="ano","bez požadavku",IF(AND(OR($B$137=2,$B$137=3,$B$137=4),$B$163&lt;700),I187*$C$141,J187*$C$141)))</f>
        <v>#N/A</v>
      </c>
      <c r="L187" s="20" t="e">
        <f>IF(AND($B$136=2,AND(Zateplení!$F$18&lt;=Zateplení!$F$19,Zateplení!$F$20&lt;=Zateplení!$F$21)),"UN,20*e1",IF($B$138="ano","bez požadavku",IF(AND(OR($B$137=2,$B$137=3,$B$137=4),$B$163&lt;700),"UN,20*e1","Urec,20*e1")))</f>
        <v>#N/A</v>
      </c>
      <c r="M187" s="20" t="str">
        <f t="shared" ref="M187:M191" si="13">IF(OR(B187="ne",B187=0),"",IF($B$138="ano","Bez požadavku na součinitel prostupu tepla",IF(B$136=2,IF(G187=0,"Zadejte součinitel prostupu tepla konstrukce",IF(G187&lt;=K187,"Konstrukce splňuje požadavky programu","Konstrukce nesplňuje požadavky programu")),IF(H187&lt;=K187,"Konstrukce splňuje požadavky programu","Konstrukce nesplňuje požadavky programu"))))</f>
        <v/>
      </c>
      <c r="N187" s="115">
        <f>Zateplení!F69</f>
        <v>0</v>
      </c>
      <c r="O187" s="193" t="e">
        <f t="shared" ref="O187:O191" si="14">(F187)*$N187*($B$141-$B$142)/1000*24*$B$145/($B$141-$B$142)</f>
        <v>#N/A</v>
      </c>
      <c r="P187" s="193">
        <f t="shared" si="10"/>
        <v>0</v>
      </c>
      <c r="Q187" s="193">
        <f t="shared" ref="Q187:Q192" si="15">IF(B187="ne",0,O187-P187)</f>
        <v>0</v>
      </c>
      <c r="R187" s="115">
        <f t="shared" si="11"/>
        <v>0</v>
      </c>
      <c r="S187" s="45" t="e">
        <f t="shared" si="12"/>
        <v>#DIV/0!</v>
      </c>
      <c r="T187" s="47"/>
    </row>
    <row r="188" spans="1:20">
      <c r="A188" s="38">
        <f>A168</f>
        <v>0</v>
      </c>
      <c r="B188" s="41" t="str">
        <f>IF(B110=FALSE,"ne",Zateplení!F74)</f>
        <v>ne</v>
      </c>
      <c r="C188" s="41"/>
      <c r="D188" s="40">
        <f>Zateplení!F75</f>
        <v>0</v>
      </c>
      <c r="E188" s="46">
        <f>Zateplení!F76</f>
        <v>0</v>
      </c>
      <c r="F188" s="20" t="e">
        <f>C168</f>
        <v>#N/A</v>
      </c>
      <c r="G188" s="20">
        <f>Zateplení!F78</f>
        <v>0</v>
      </c>
      <c r="H188" s="117" t="e">
        <f>1/(1/F188+E188/1000/VLOOKUP(D188,budova_opatření!$B$3:$D$38,2,0))+VLOOKUP(D188,budova_opatření!$B$3:$D$38,3,0)</f>
        <v>#N/A</v>
      </c>
      <c r="I188" s="20" t="e">
        <f>VLOOKUP(CONCATENATE($B$139,"-",parametry!B168),budova!$D$70:$G$304,3,0)</f>
        <v>#N/A</v>
      </c>
      <c r="J188" s="20" t="e">
        <f>VLOOKUP(CONCATENATE($B$139,"-",parametry!B168),budova!$D$70:$G$304,4,0)</f>
        <v>#N/A</v>
      </c>
      <c r="K188" s="28" t="e">
        <f>IF(AND($B$136=2,AND(Zateplení!$F$18&lt;=Zateplení!$F$19,Zateplení!$F$20&lt;=Zateplení!$F$21)),I188*$C$141,IF($B$138="ano","bez požadavku",IF(AND(OR($B$137=2,$B$137=3,$B$137=4),$B$163&lt;700),I188*$C$141,J188*$C$141)))</f>
        <v>#N/A</v>
      </c>
      <c r="L188" s="20" t="e">
        <f>IF(AND($B$136=2,AND(Zateplení!$F$18&lt;=Zateplení!$F$19,Zateplení!$F$20&lt;=Zateplení!$F$21)),"UN,20*e1",IF($B$138="ano","bez požadavku",IF(AND(OR($B$137=2,$B$137=3,$B$137=4),$B$163&lt;700),"UN,20*e1","Urec,20*e1")))</f>
        <v>#N/A</v>
      </c>
      <c r="M188" s="20" t="str">
        <f t="shared" si="13"/>
        <v/>
      </c>
      <c r="N188" s="115">
        <f>Zateplení!F77</f>
        <v>0</v>
      </c>
      <c r="O188" s="193" t="e">
        <f t="shared" si="14"/>
        <v>#N/A</v>
      </c>
      <c r="P188" s="193">
        <f t="shared" si="10"/>
        <v>0</v>
      </c>
      <c r="Q188" s="193">
        <f t="shared" si="15"/>
        <v>0</v>
      </c>
      <c r="R188" s="115">
        <f t="shared" si="11"/>
        <v>0</v>
      </c>
      <c r="S188" s="45" t="e">
        <f t="shared" si="12"/>
        <v>#DIV/0!</v>
      </c>
      <c r="T188" s="47"/>
    </row>
    <row r="189" spans="1:20">
      <c r="A189" s="38" t="s">
        <v>51</v>
      </c>
      <c r="B189" s="41" t="str">
        <f>IF(B110=FALSE,"ne",Zateplení!F82)</f>
        <v>ne</v>
      </c>
      <c r="C189" s="41"/>
      <c r="D189" s="40">
        <f>Zateplení!F83</f>
        <v>0</v>
      </c>
      <c r="F189" s="20" t="e">
        <f>C169</f>
        <v>#N/A</v>
      </c>
      <c r="G189" s="20">
        <f>Zateplení!F85</f>
        <v>0</v>
      </c>
      <c r="H189" s="46">
        <f>Zateplení!F85</f>
        <v>0</v>
      </c>
      <c r="I189" s="20">
        <v>1.5</v>
      </c>
      <c r="J189" s="20">
        <v>1.2</v>
      </c>
      <c r="K189" s="28" t="e">
        <f>IF(AND($B$136=2,AND(Zateplení!$F$18&lt;=Zateplení!$F$19,Zateplení!$F$20&lt;=Zateplení!$F$21)),I189*$C$141,IF($B$138="ano","bez požadavku",IF(AND(OR($B$137=2,$B$137=3,$B$137=4),$B$163&lt;700),I189*$C$141,J189*$C$141)))</f>
        <v>#N/A</v>
      </c>
      <c r="L189" s="20" t="e">
        <f>IF(AND($B$136=2,AND(Zateplení!$F$18&lt;=Zateplení!$F$19,Zateplení!$F$20&lt;=Zateplení!$F$21)),"UN,20*e1",IF($B$138="ano","bez požadavku",IF(AND(OR($B$137=2,$B$137=3,$B$137=4),$B$163&lt;700),"UN,20*e1","Urec,20*e1")))</f>
        <v>#N/A</v>
      </c>
      <c r="M189" s="20" t="str">
        <f t="shared" si="13"/>
        <v/>
      </c>
      <c r="N189" s="115">
        <f>Zateplení!F84</f>
        <v>0</v>
      </c>
      <c r="O189" s="193" t="e">
        <f t="shared" si="14"/>
        <v>#N/A</v>
      </c>
      <c r="P189" s="193">
        <f t="shared" si="10"/>
        <v>0</v>
      </c>
      <c r="Q189" s="193">
        <f t="shared" si="15"/>
        <v>0</v>
      </c>
      <c r="R189" s="115">
        <f t="shared" si="11"/>
        <v>0</v>
      </c>
      <c r="S189" s="45" t="e">
        <f t="shared" si="12"/>
        <v>#DIV/0!</v>
      </c>
      <c r="T189" s="47"/>
    </row>
    <row r="190" spans="1:20">
      <c r="A190" s="38" t="s">
        <v>397</v>
      </c>
      <c r="B190" s="41" t="str">
        <f>IF(B110=FALSE,"ne",Zateplení!F88)</f>
        <v>ne</v>
      </c>
      <c r="C190" s="41"/>
      <c r="D190" s="40">
        <f>Zateplení!F89</f>
        <v>0</v>
      </c>
      <c r="F190" s="20" t="e">
        <f>C170</f>
        <v>#N/A</v>
      </c>
      <c r="G190" s="20">
        <f>Zateplení!F91</f>
        <v>0</v>
      </c>
      <c r="H190" s="46">
        <f>Zateplení!F91</f>
        <v>0</v>
      </c>
      <c r="I190" s="20">
        <v>1.7</v>
      </c>
      <c r="J190" s="20">
        <v>1.2</v>
      </c>
      <c r="K190" s="28" t="e">
        <f>IF(AND($B$136=2,AND(Zateplení!$F$18&lt;=Zateplení!$F$19,Zateplení!$F$20&lt;=Zateplení!$F$21)),I190*$C$141,IF($B$138="ano","bez požadavku",IF(AND(OR($B$137=2,$B$137=3,$B$137=4),$B$163&lt;700),I190*$C$141,J190*$C$141)))</f>
        <v>#N/A</v>
      </c>
      <c r="L190" s="20" t="e">
        <f>IF(AND($B$136=2,AND(Zateplení!$F$18&lt;=Zateplení!$F$19,Zateplení!$F$20&lt;=Zateplení!$F$21)),"UN,20*e1",IF($B$138="ano","bez požadavku",IF(AND(OR($B$137=2,$B$137=3,$B$137=4),$B$163&lt;700),"UN,20*e1","Urec,20*e1")))</f>
        <v>#N/A</v>
      </c>
      <c r="M190" s="20" t="str">
        <f t="shared" si="13"/>
        <v/>
      </c>
      <c r="N190" s="115">
        <f>Zateplení!F90</f>
        <v>0</v>
      </c>
      <c r="O190" s="193" t="e">
        <f t="shared" si="14"/>
        <v>#N/A</v>
      </c>
      <c r="P190" s="193">
        <f t="shared" si="10"/>
        <v>0</v>
      </c>
      <c r="Q190" s="193">
        <f t="shared" si="15"/>
        <v>0</v>
      </c>
      <c r="R190" s="115">
        <f t="shared" si="11"/>
        <v>0</v>
      </c>
      <c r="S190" s="45" t="e">
        <f t="shared" si="12"/>
        <v>#DIV/0!</v>
      </c>
      <c r="T190" s="47"/>
    </row>
    <row r="191" spans="1:20">
      <c r="A191" s="38" t="s">
        <v>52</v>
      </c>
      <c r="B191" s="41" t="str">
        <f>IF(B110=FALSE,"ne",Zateplení!F94)</f>
        <v>ne</v>
      </c>
      <c r="C191" s="41"/>
      <c r="D191" s="40">
        <f>Zateplení!F95</f>
        <v>0</v>
      </c>
      <c r="F191" s="20">
        <f>IF(ISBLANK(Zateplení!F35),0,C171)</f>
        <v>0</v>
      </c>
      <c r="G191" s="20">
        <f>Zateplení!F97</f>
        <v>0</v>
      </c>
      <c r="H191" s="46">
        <f>Zateplení!F97</f>
        <v>0</v>
      </c>
      <c r="I191" s="20">
        <v>1.4</v>
      </c>
      <c r="J191" s="20">
        <v>1.1000000000000001</v>
      </c>
      <c r="K191" s="28" t="e">
        <f>IF(AND($B$136=2,AND(Zateplení!$F$18&lt;=Zateplení!$F$19,Zateplení!$F$20&lt;=Zateplení!$F$21)),I191*$C$141,IF($B$138="ano","bez požadavku",IF(AND(OR($B$137=2,$B$137=3,$B$137=4),$B$163&lt;700),I191*$C$141,J191*$C$141)))</f>
        <v>#N/A</v>
      </c>
      <c r="L191" s="20" t="e">
        <f>IF(AND($B$136=2,AND(Zateplení!$F$18&lt;=Zateplení!$F$19,Zateplení!$F$20&lt;=Zateplení!$F$21)),"UN,20*e1",IF($B$138="ano","bez požadavku",IF(AND(OR($B$137=2,$B$137=3,$B$137=4),$B$163&lt;700),"UN,20*e1","Urec,20*e1")))</f>
        <v>#N/A</v>
      </c>
      <c r="M191" s="20" t="str">
        <f t="shared" si="13"/>
        <v/>
      </c>
      <c r="N191" s="115">
        <f>Zateplení!F96</f>
        <v>0</v>
      </c>
      <c r="O191" s="193">
        <f t="shared" si="14"/>
        <v>0</v>
      </c>
      <c r="P191" s="193">
        <f t="shared" si="10"/>
        <v>0</v>
      </c>
      <c r="Q191" s="193">
        <f t="shared" si="15"/>
        <v>0</v>
      </c>
      <c r="R191" s="115">
        <f t="shared" si="11"/>
        <v>0</v>
      </c>
      <c r="S191" s="45" t="e">
        <f t="shared" si="12"/>
        <v>#DIV/0!</v>
      </c>
      <c r="T191" s="47"/>
    </row>
    <row r="192" spans="1:20">
      <c r="A192" s="38" t="s">
        <v>71</v>
      </c>
      <c r="B192" s="41" t="str">
        <f>IF(B110=FALSE,"ne",Zateplení!F100)</f>
        <v>ne</v>
      </c>
      <c r="C192" s="44"/>
      <c r="D192" s="48"/>
      <c r="E192" s="35"/>
      <c r="H192" s="46"/>
      <c r="M192" s="137" t="s">
        <v>775</v>
      </c>
      <c r="N192" s="214"/>
      <c r="O192" s="215">
        <f>0.34*Zateplení!F102*24*B145/1000</f>
        <v>0</v>
      </c>
      <c r="P192" s="215">
        <f>0.34*Zateplení!F102*(1-Zateplení!F101)*24*B145/1000</f>
        <v>0</v>
      </c>
      <c r="Q192" s="215">
        <f t="shared" si="15"/>
        <v>0</v>
      </c>
      <c r="R192" s="216">
        <f t="shared" si="11"/>
        <v>0</v>
      </c>
      <c r="S192" s="217" t="e">
        <f t="shared" si="12"/>
        <v>#DIV/0!</v>
      </c>
      <c r="T192" s="47"/>
    </row>
    <row r="193" spans="1:20">
      <c r="A193" s="38" t="s">
        <v>66</v>
      </c>
      <c r="B193" s="41"/>
      <c r="C193" s="41"/>
      <c r="D193" s="42"/>
      <c r="E193" s="41"/>
      <c r="H193" s="46"/>
      <c r="N193" s="43" t="s">
        <v>3</v>
      </c>
      <c r="O193" s="193" t="e">
        <f>SUM(O186:O191)</f>
        <v>#N/A</v>
      </c>
      <c r="P193" s="193">
        <f>SUM(P186:P191)</f>
        <v>0</v>
      </c>
      <c r="Q193" s="193">
        <f>SUM(Q186:Q191)</f>
        <v>0</v>
      </c>
      <c r="R193" s="45">
        <f>SUM(R186:R191)</f>
        <v>0</v>
      </c>
      <c r="S193" s="45" t="e">
        <f t="shared" si="12"/>
        <v>#DIV/0!</v>
      </c>
      <c r="T193" s="47"/>
    </row>
    <row r="194" spans="1:20">
      <c r="A194" s="38"/>
      <c r="B194" s="43"/>
      <c r="C194" s="41"/>
      <c r="D194" s="49"/>
      <c r="E194" s="38"/>
      <c r="F194" s="35"/>
      <c r="G194" s="35"/>
      <c r="H194" s="35"/>
      <c r="I194" s="35"/>
      <c r="J194" s="35"/>
      <c r="K194" s="35"/>
      <c r="N194" s="20" t="s">
        <v>48</v>
      </c>
      <c r="O194" s="21" t="e">
        <f>O193/Zateplení!$F$9</f>
        <v>#N/A</v>
      </c>
      <c r="P194" s="21" t="e">
        <f>P193/Zateplení!$F$9</f>
        <v>#DIV/0!</v>
      </c>
      <c r="Q194" s="21" t="e">
        <f>Q193/Zateplení!$F$9</f>
        <v>#DIV/0!</v>
      </c>
      <c r="R194" s="20" t="e">
        <f>Q193/O193</f>
        <v>#N/A</v>
      </c>
    </row>
    <row r="195" spans="1:20">
      <c r="A195" s="38" t="s">
        <v>72</v>
      </c>
      <c r="B195" s="36"/>
      <c r="C195" s="36" t="s">
        <v>48</v>
      </c>
      <c r="D195" s="49"/>
      <c r="E195" s="38"/>
      <c r="F195" s="35"/>
      <c r="G195" s="35"/>
      <c r="H195" s="35"/>
      <c r="I195" s="35"/>
      <c r="J195" s="35"/>
      <c r="K195" s="35"/>
    </row>
    <row r="196" spans="1:20">
      <c r="A196" s="38" t="s">
        <v>438</v>
      </c>
      <c r="B196" s="36">
        <f>IF($B$136=1,$O$193,Zateplení!F22)</f>
        <v>0</v>
      </c>
      <c r="C196" s="36" t="s">
        <v>3</v>
      </c>
      <c r="D196" s="120">
        <f>B196/1000*3.6</f>
        <v>0</v>
      </c>
      <c r="E196" s="35" t="s">
        <v>1</v>
      </c>
      <c r="F196" s="35" t="s">
        <v>450</v>
      </c>
      <c r="G196" s="35"/>
      <c r="H196" s="35"/>
      <c r="I196" s="35"/>
      <c r="J196" s="35"/>
      <c r="K196" s="35"/>
    </row>
    <row r="197" spans="1:20">
      <c r="A197" s="38" t="s">
        <v>73</v>
      </c>
      <c r="B197" s="36">
        <f>IF($B$136=1,$P$193,Zateplení!F20)</f>
        <v>0</v>
      </c>
      <c r="C197" s="36" t="s">
        <v>3</v>
      </c>
      <c r="D197" s="120">
        <f>B197/1000*3.6</f>
        <v>0</v>
      </c>
      <c r="E197" s="35" t="s">
        <v>1</v>
      </c>
      <c r="F197" s="35" t="s">
        <v>450</v>
      </c>
      <c r="G197" s="35"/>
      <c r="H197" s="35"/>
      <c r="I197" s="35"/>
      <c r="J197" s="35"/>
      <c r="K197" s="35"/>
    </row>
    <row r="198" spans="1:20">
      <c r="A198" s="38" t="s">
        <v>829</v>
      </c>
      <c r="B198" s="36">
        <f>B196-B197</f>
        <v>0</v>
      </c>
      <c r="C198" s="36" t="s">
        <v>3</v>
      </c>
      <c r="D198" s="120">
        <f>D196-D197</f>
        <v>0</v>
      </c>
      <c r="E198" s="35" t="s">
        <v>1</v>
      </c>
      <c r="F198" s="35"/>
      <c r="G198" s="35"/>
      <c r="H198" s="35"/>
      <c r="I198" s="35"/>
      <c r="J198" s="35"/>
      <c r="K198" s="35"/>
    </row>
    <row r="199" spans="1:20">
      <c r="A199" s="35"/>
      <c r="B199" s="35"/>
      <c r="C199" s="35"/>
      <c r="D199" s="35"/>
      <c r="E199" s="35"/>
      <c r="F199" s="35"/>
      <c r="G199" s="35"/>
      <c r="H199" s="35"/>
      <c r="I199" s="35"/>
      <c r="J199" s="35"/>
      <c r="K199" s="35"/>
    </row>
    <row r="200" spans="1:20">
      <c r="A200" s="35"/>
      <c r="B200" s="35"/>
      <c r="C200" s="36"/>
      <c r="D200" s="35"/>
      <c r="E200" s="35"/>
      <c r="F200" s="35"/>
      <c r="G200" s="35"/>
      <c r="H200" s="35"/>
      <c r="I200" s="35"/>
      <c r="J200" s="35"/>
      <c r="K200" s="35"/>
    </row>
    <row r="201" spans="1:20">
      <c r="A201" s="38" t="s">
        <v>74</v>
      </c>
      <c r="B201" s="50" t="e">
        <f>1-B197/B196</f>
        <v>#DIV/0!</v>
      </c>
      <c r="C201" s="35"/>
      <c r="D201" s="35"/>
      <c r="E201" s="35"/>
      <c r="F201" s="35"/>
      <c r="G201" s="35"/>
      <c r="H201" s="35"/>
      <c r="I201" s="35"/>
      <c r="J201" s="35"/>
      <c r="K201" s="35"/>
    </row>
  </sheetData>
  <pageMargins left="0.7" right="0.7" top="0.78740157499999996" bottom="0.78740157499999996" header="0.3" footer="0.3"/>
  <pageSetup paperSize="9" orientation="portrait" horizontalDpi="360" verticalDpi="36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Q116"/>
  <sheetViews>
    <sheetView topLeftCell="A15" workbookViewId="0">
      <selection activeCell="S36" sqref="S36"/>
    </sheetView>
  </sheetViews>
  <sheetFormatPr defaultColWidth="9.140625" defaultRowHeight="15"/>
  <cols>
    <col min="1" max="5" width="9.140625" style="201"/>
    <col min="6" max="6" width="14.28515625" style="201" customWidth="1"/>
    <col min="7" max="7" width="18.42578125" style="201" customWidth="1"/>
    <col min="8" max="16384" width="9.140625" style="201"/>
  </cols>
  <sheetData>
    <row r="1" spans="1:17">
      <c r="A1" s="200" t="s">
        <v>133</v>
      </c>
      <c r="B1" s="200" t="s">
        <v>134</v>
      </c>
      <c r="C1" s="200" t="s">
        <v>149</v>
      </c>
      <c r="D1" s="200" t="s">
        <v>153</v>
      </c>
      <c r="E1" s="200" t="s">
        <v>152</v>
      </c>
      <c r="F1" s="200" t="s">
        <v>154</v>
      </c>
      <c r="G1" s="200" t="s">
        <v>151</v>
      </c>
      <c r="N1" s="202" t="s">
        <v>155</v>
      </c>
    </row>
    <row r="2" spans="1:17">
      <c r="A2" s="201">
        <v>40</v>
      </c>
      <c r="B2" s="201">
        <v>30</v>
      </c>
      <c r="C2" s="199">
        <f>ROUND((C3/F3)*F2,2)</f>
        <v>6.62</v>
      </c>
      <c r="D2" s="199">
        <f>ROUND((D3/F3)*F2,2)</f>
        <v>5</v>
      </c>
      <c r="E2" s="199">
        <f>ROUND((E3/F3)*F2,2)</f>
        <v>3.67</v>
      </c>
      <c r="F2" s="201">
        <v>3</v>
      </c>
      <c r="G2" s="201">
        <f>F2*H3</f>
        <v>0</v>
      </c>
      <c r="O2" s="201" t="s">
        <v>150</v>
      </c>
      <c r="P2" s="201" t="s">
        <v>151</v>
      </c>
      <c r="Q2" s="201" t="s">
        <v>118</v>
      </c>
    </row>
    <row r="3" spans="1:17">
      <c r="A3" s="199">
        <f>A2+($A$5-$A$2)/3</f>
        <v>46.666666666666664</v>
      </c>
      <c r="B3" s="199">
        <f>B2+($B$5-$B$2)/3</f>
        <v>35.333333333333336</v>
      </c>
      <c r="C3" s="199">
        <f t="shared" ref="C3:C47" si="0">(C4/F4)*F3</f>
        <v>12.133526850507986</v>
      </c>
      <c r="D3" s="199">
        <f>(D4/F4)*F3</f>
        <v>9.1666666666666679</v>
      </c>
      <c r="E3" s="199">
        <f>(E4/F4)*F3</f>
        <v>6.7222222222222241</v>
      </c>
      <c r="F3" s="201">
        <v>5.5</v>
      </c>
      <c r="G3" s="199">
        <v>470</v>
      </c>
      <c r="N3" s="201" t="s">
        <v>133</v>
      </c>
      <c r="O3" s="201">
        <v>25</v>
      </c>
      <c r="P3" s="201">
        <v>200</v>
      </c>
      <c r="Q3" s="201">
        <f t="shared" ref="Q3:Q30" si="1">P3/O3</f>
        <v>8</v>
      </c>
    </row>
    <row r="4" spans="1:17">
      <c r="A4" s="199">
        <f>A3+($A$5-$A$2)/3</f>
        <v>53.333333333333329</v>
      </c>
      <c r="B4" s="199">
        <f>B3+($B$5-$B$2)/3</f>
        <v>40.666666666666671</v>
      </c>
      <c r="C4" s="199">
        <f t="shared" si="0"/>
        <v>13.23657474600871</v>
      </c>
      <c r="D4" s="199">
        <v>10</v>
      </c>
      <c r="E4" s="199">
        <f>(E5/F5)*F4</f>
        <v>7.3333333333333357</v>
      </c>
      <c r="F4" s="201">
        <v>6</v>
      </c>
      <c r="G4" s="199">
        <f>G3+($G$6-$G$3)/3</f>
        <v>582</v>
      </c>
      <c r="N4" s="201" t="s">
        <v>133</v>
      </c>
      <c r="O4" s="201">
        <v>40</v>
      </c>
      <c r="P4" s="201">
        <v>280</v>
      </c>
      <c r="Q4" s="201">
        <f t="shared" si="1"/>
        <v>7</v>
      </c>
    </row>
    <row r="5" spans="1:17">
      <c r="A5" s="201">
        <v>60</v>
      </c>
      <c r="B5" s="201">
        <v>46</v>
      </c>
      <c r="C5" s="199">
        <f t="shared" si="0"/>
        <v>15.442670537010162</v>
      </c>
      <c r="D5" s="199">
        <f>D4+(D7-D4)/3</f>
        <v>12</v>
      </c>
      <c r="E5" s="199">
        <f>(E6/F6)*F5</f>
        <v>8.5555555555555571</v>
      </c>
      <c r="F5" s="201">
        <v>7</v>
      </c>
      <c r="G5" s="199">
        <f>G4+($G$6-$G$3)/3</f>
        <v>694</v>
      </c>
      <c r="N5" s="201" t="s">
        <v>133</v>
      </c>
      <c r="O5" s="201">
        <v>60</v>
      </c>
      <c r="P5" s="201">
        <v>630</v>
      </c>
      <c r="Q5" s="201">
        <f t="shared" si="1"/>
        <v>10.5</v>
      </c>
    </row>
    <row r="6" spans="1:17">
      <c r="A6" s="199">
        <f>A5+(A8-A5)/3</f>
        <v>65</v>
      </c>
      <c r="B6" s="199">
        <f>B5+(B7-B5)/2</f>
        <v>51.5</v>
      </c>
      <c r="C6" s="199">
        <f t="shared" si="0"/>
        <v>17.648766328011614</v>
      </c>
      <c r="D6" s="199">
        <f>D5+(D7-D4)/3</f>
        <v>14</v>
      </c>
      <c r="E6" s="199">
        <f>(E7/F7)*F6</f>
        <v>9.7777777777777786</v>
      </c>
      <c r="F6" s="201">
        <v>8</v>
      </c>
      <c r="G6" s="199">
        <v>806</v>
      </c>
      <c r="N6" s="201" t="s">
        <v>133</v>
      </c>
      <c r="O6" s="201">
        <v>75</v>
      </c>
      <c r="P6" s="201">
        <v>1000</v>
      </c>
      <c r="Q6" s="201">
        <f t="shared" si="1"/>
        <v>13.333333333333334</v>
      </c>
    </row>
    <row r="7" spans="1:17">
      <c r="A7" s="199">
        <v>70</v>
      </c>
      <c r="B7" s="199">
        <v>57</v>
      </c>
      <c r="C7" s="199">
        <f t="shared" si="0"/>
        <v>19.854862119013067</v>
      </c>
      <c r="D7" s="199">
        <v>16</v>
      </c>
      <c r="E7" s="199">
        <v>11</v>
      </c>
      <c r="F7" s="201">
        <v>9</v>
      </c>
      <c r="G7" s="199">
        <f>(G6+G8)/2</f>
        <v>930.5</v>
      </c>
      <c r="N7" s="201" t="s">
        <v>133</v>
      </c>
      <c r="O7" s="201">
        <v>100</v>
      </c>
      <c r="P7" s="201">
        <v>1340</v>
      </c>
      <c r="Q7" s="201">
        <f t="shared" si="1"/>
        <v>13.4</v>
      </c>
    </row>
    <row r="8" spans="1:17">
      <c r="A8" s="201">
        <v>75</v>
      </c>
      <c r="B8" s="199">
        <f>B7+(B10-B7)/3</f>
        <v>63.666666666666664</v>
      </c>
      <c r="C8" s="199">
        <f t="shared" si="0"/>
        <v>22.060957910014519</v>
      </c>
      <c r="D8" s="199">
        <f>D7+($D$32-$D$7)/25</f>
        <v>16.8</v>
      </c>
      <c r="E8" s="199">
        <f>E7+($E$10-$E$7)/3</f>
        <v>13.333333333333334</v>
      </c>
      <c r="F8" s="201">
        <v>10</v>
      </c>
      <c r="G8" s="199">
        <v>1055</v>
      </c>
      <c r="N8" s="201" t="s">
        <v>133</v>
      </c>
      <c r="O8" s="201">
        <v>150</v>
      </c>
      <c r="P8" s="201">
        <v>2140</v>
      </c>
      <c r="Q8" s="201">
        <f t="shared" si="1"/>
        <v>14.266666666666667</v>
      </c>
    </row>
    <row r="9" spans="1:17">
      <c r="A9" s="199">
        <f>(A8+A10)/2</f>
        <v>87.5</v>
      </c>
      <c r="B9" s="199">
        <f>B8+(B10-B7)/3</f>
        <v>70.333333333333329</v>
      </c>
      <c r="C9" s="199">
        <f t="shared" si="0"/>
        <v>24.267053701015971</v>
      </c>
      <c r="D9" s="199">
        <f t="shared" ref="D9:D31" si="2">D8+($D$32-$D$7)/25</f>
        <v>17.600000000000001</v>
      </c>
      <c r="E9" s="199">
        <f>E8+($E$10-$E$7)/3</f>
        <v>15.666666666666668</v>
      </c>
      <c r="F9" s="201">
        <v>11</v>
      </c>
      <c r="G9" s="199">
        <f>G8+(G11-G8)/3</f>
        <v>1210.3333333333333</v>
      </c>
      <c r="N9" s="201" t="s">
        <v>133</v>
      </c>
      <c r="O9" s="201">
        <v>200</v>
      </c>
      <c r="P9" s="201">
        <v>2800</v>
      </c>
      <c r="Q9" s="203">
        <f t="shared" si="1"/>
        <v>14</v>
      </c>
    </row>
    <row r="10" spans="1:17">
      <c r="A10" s="201">
        <v>100</v>
      </c>
      <c r="B10" s="201">
        <v>77</v>
      </c>
      <c r="C10" s="199">
        <f t="shared" si="0"/>
        <v>26.47314949201742</v>
      </c>
      <c r="D10" s="199">
        <f t="shared" si="2"/>
        <v>18.400000000000002</v>
      </c>
      <c r="E10" s="199">
        <v>18</v>
      </c>
      <c r="F10" s="201">
        <v>12</v>
      </c>
      <c r="G10" s="199">
        <f>G9+(G11-G8)/3</f>
        <v>1365.6666666666665</v>
      </c>
      <c r="N10" s="201" t="s">
        <v>133</v>
      </c>
      <c r="O10" s="201">
        <v>300</v>
      </c>
      <c r="P10" s="201">
        <v>4200</v>
      </c>
      <c r="Q10" s="203">
        <f t="shared" si="1"/>
        <v>14</v>
      </c>
    </row>
    <row r="11" spans="1:17">
      <c r="A11" s="199">
        <f>A10+($A$19-$A$10)/9</f>
        <v>105.55555555555556</v>
      </c>
      <c r="B11" s="199">
        <f>B10+($B$33-$B$10)/23</f>
        <v>80.173913043478265</v>
      </c>
      <c r="C11" s="199">
        <f t="shared" si="0"/>
        <v>28.679245283018872</v>
      </c>
      <c r="D11" s="199">
        <f t="shared" si="2"/>
        <v>19.200000000000003</v>
      </c>
      <c r="E11" s="199">
        <f>E10+($E$14-$E$10)/4</f>
        <v>20.5</v>
      </c>
      <c r="F11" s="201">
        <v>13</v>
      </c>
      <c r="G11" s="199">
        <v>1521</v>
      </c>
      <c r="N11" s="201" t="s">
        <v>149</v>
      </c>
      <c r="O11" s="201">
        <v>80</v>
      </c>
      <c r="P11" s="201">
        <v>3600</v>
      </c>
      <c r="Q11" s="203">
        <f t="shared" si="1"/>
        <v>45</v>
      </c>
    </row>
    <row r="12" spans="1:17">
      <c r="A12" s="199">
        <f t="shared" ref="A12:A18" si="3">A11+($A$19-$A$10)/9</f>
        <v>111.11111111111111</v>
      </c>
      <c r="B12" s="199">
        <f t="shared" ref="B12:B32" si="4">B11+($B$33-$B$10)/23</f>
        <v>83.34782608695653</v>
      </c>
      <c r="C12" s="199">
        <f t="shared" si="0"/>
        <v>30.885341074020324</v>
      </c>
      <c r="D12" s="199">
        <f t="shared" si="2"/>
        <v>20.000000000000004</v>
      </c>
      <c r="E12" s="199">
        <f>E11+($E$14-$E$10)/4</f>
        <v>23</v>
      </c>
      <c r="F12" s="201">
        <v>14</v>
      </c>
      <c r="G12" s="199">
        <f t="shared" ref="G12:G17" si="5">G11+($G$18-$G$11)/7</f>
        <v>1603.7142857142858</v>
      </c>
      <c r="N12" s="201" t="s">
        <v>149</v>
      </c>
      <c r="O12" s="201">
        <v>125</v>
      </c>
      <c r="P12" s="201">
        <v>6000</v>
      </c>
      <c r="Q12" s="201">
        <f t="shared" si="1"/>
        <v>48</v>
      </c>
    </row>
    <row r="13" spans="1:17">
      <c r="A13" s="199">
        <f t="shared" si="3"/>
        <v>116.66666666666667</v>
      </c>
      <c r="B13" s="199">
        <f t="shared" si="4"/>
        <v>86.521739130434796</v>
      </c>
      <c r="C13" s="199">
        <f t="shared" si="0"/>
        <v>33.091436865021777</v>
      </c>
      <c r="D13" s="199">
        <f t="shared" si="2"/>
        <v>20.800000000000004</v>
      </c>
      <c r="E13" s="199">
        <f>E12+($E$14-$E$10)/4</f>
        <v>25.5</v>
      </c>
      <c r="F13" s="201">
        <v>15</v>
      </c>
      <c r="G13" s="199">
        <f t="shared" si="5"/>
        <v>1686.4285714285716</v>
      </c>
      <c r="N13" s="201" t="s">
        <v>149</v>
      </c>
      <c r="O13" s="201">
        <v>250</v>
      </c>
      <c r="P13" s="201">
        <v>12700</v>
      </c>
      <c r="Q13" s="203">
        <f t="shared" si="1"/>
        <v>50.8</v>
      </c>
    </row>
    <row r="14" spans="1:17">
      <c r="A14" s="199">
        <f t="shared" si="3"/>
        <v>122.22222222222223</v>
      </c>
      <c r="B14" s="199">
        <f t="shared" si="4"/>
        <v>89.695652173913061</v>
      </c>
      <c r="C14" s="199">
        <f t="shared" si="0"/>
        <v>35.297532656023229</v>
      </c>
      <c r="D14" s="199">
        <f t="shared" si="2"/>
        <v>21.600000000000005</v>
      </c>
      <c r="E14" s="199">
        <v>28</v>
      </c>
      <c r="F14" s="201">
        <v>16</v>
      </c>
      <c r="G14" s="199">
        <f t="shared" si="5"/>
        <v>1769.1428571428573</v>
      </c>
      <c r="N14" s="201" t="s">
        <v>153</v>
      </c>
      <c r="O14" s="201">
        <v>10</v>
      </c>
      <c r="P14" s="201">
        <v>600</v>
      </c>
      <c r="Q14" s="203">
        <f t="shared" si="1"/>
        <v>60</v>
      </c>
    </row>
    <row r="15" spans="1:17">
      <c r="A15" s="199">
        <f t="shared" si="3"/>
        <v>127.77777777777779</v>
      </c>
      <c r="B15" s="199">
        <f t="shared" si="4"/>
        <v>92.869565217391326</v>
      </c>
      <c r="C15" s="199">
        <f t="shared" si="0"/>
        <v>37.503628447024681</v>
      </c>
      <c r="D15" s="199">
        <f t="shared" si="2"/>
        <v>22.400000000000006</v>
      </c>
      <c r="E15" s="199">
        <f>E14+($E$43-$E$14)/28</f>
        <v>28.285714285714285</v>
      </c>
      <c r="F15" s="201">
        <v>17</v>
      </c>
      <c r="G15" s="199">
        <f t="shared" si="5"/>
        <v>1851.8571428571431</v>
      </c>
      <c r="N15" s="201" t="s">
        <v>153</v>
      </c>
      <c r="O15" s="201">
        <v>16</v>
      </c>
      <c r="P15" s="201">
        <v>980</v>
      </c>
      <c r="Q15" s="201">
        <f t="shared" si="1"/>
        <v>61.25</v>
      </c>
    </row>
    <row r="16" spans="1:17">
      <c r="A16" s="199">
        <f t="shared" si="3"/>
        <v>133.33333333333334</v>
      </c>
      <c r="B16" s="199">
        <f t="shared" si="4"/>
        <v>96.043478260869591</v>
      </c>
      <c r="C16" s="199">
        <f t="shared" si="0"/>
        <v>39.709724238026133</v>
      </c>
      <c r="D16" s="199">
        <f t="shared" si="2"/>
        <v>23.200000000000006</v>
      </c>
      <c r="E16" s="199">
        <f t="shared" ref="E16:E42" si="6">E15+($E$43-$E$14)/28</f>
        <v>28.571428571428569</v>
      </c>
      <c r="F16" s="201">
        <v>18</v>
      </c>
      <c r="G16" s="199">
        <f t="shared" si="5"/>
        <v>1934.5714285714289</v>
      </c>
      <c r="N16" s="201" t="s">
        <v>153</v>
      </c>
      <c r="O16" s="201">
        <v>36</v>
      </c>
      <c r="P16" s="201">
        <v>2800</v>
      </c>
      <c r="Q16" s="203">
        <f t="shared" si="1"/>
        <v>77.777777777777771</v>
      </c>
    </row>
    <row r="17" spans="1:17">
      <c r="A17" s="199">
        <f t="shared" si="3"/>
        <v>138.88888888888889</v>
      </c>
      <c r="B17" s="199">
        <f t="shared" si="4"/>
        <v>99.217391304347856</v>
      </c>
      <c r="C17" s="199">
        <f t="shared" si="0"/>
        <v>41.915820029027586</v>
      </c>
      <c r="D17" s="199">
        <f t="shared" si="2"/>
        <v>24.000000000000007</v>
      </c>
      <c r="E17" s="199">
        <f t="shared" si="6"/>
        <v>28.857142857142854</v>
      </c>
      <c r="F17" s="201">
        <v>19</v>
      </c>
      <c r="G17" s="199">
        <f t="shared" si="5"/>
        <v>2017.2857142857147</v>
      </c>
      <c r="N17" s="201" t="s">
        <v>153</v>
      </c>
      <c r="O17" s="201">
        <v>80</v>
      </c>
      <c r="P17" s="201">
        <v>6000</v>
      </c>
      <c r="Q17" s="203">
        <f t="shared" si="1"/>
        <v>75</v>
      </c>
    </row>
    <row r="18" spans="1:17">
      <c r="A18" s="199">
        <f t="shared" si="3"/>
        <v>144.44444444444443</v>
      </c>
      <c r="B18" s="199">
        <f t="shared" si="4"/>
        <v>102.39130434782612</v>
      </c>
      <c r="C18" s="199">
        <f t="shared" si="0"/>
        <v>44.121915820029038</v>
      </c>
      <c r="D18" s="199">
        <f t="shared" si="2"/>
        <v>24.800000000000008</v>
      </c>
      <c r="E18" s="199">
        <f t="shared" si="6"/>
        <v>29.142857142857139</v>
      </c>
      <c r="F18" s="201">
        <v>20</v>
      </c>
      <c r="G18" s="199">
        <v>2100</v>
      </c>
      <c r="N18" s="201" t="s">
        <v>152</v>
      </c>
      <c r="O18" s="201">
        <v>80</v>
      </c>
      <c r="P18" s="201">
        <v>7000</v>
      </c>
      <c r="Q18" s="201">
        <f t="shared" si="1"/>
        <v>87.5</v>
      </c>
    </row>
    <row r="19" spans="1:17">
      <c r="A19" s="201">
        <v>150</v>
      </c>
      <c r="B19" s="199">
        <f t="shared" si="4"/>
        <v>105.56521739130439</v>
      </c>
      <c r="C19" s="199">
        <f t="shared" si="0"/>
        <v>46.32801161103049</v>
      </c>
      <c r="D19" s="199">
        <f t="shared" si="2"/>
        <v>25.600000000000009</v>
      </c>
      <c r="E19" s="199">
        <f t="shared" si="6"/>
        <v>29.428571428571423</v>
      </c>
      <c r="F19" s="201">
        <v>21</v>
      </c>
      <c r="G19" s="199">
        <f>G18+($G$28-$G$18)/10</f>
        <v>2150</v>
      </c>
      <c r="N19" s="201" t="s">
        <v>152</v>
      </c>
      <c r="O19" s="201">
        <v>58</v>
      </c>
      <c r="P19" s="201">
        <v>5250</v>
      </c>
      <c r="Q19" s="201">
        <f t="shared" si="1"/>
        <v>90.517241379310349</v>
      </c>
    </row>
    <row r="20" spans="1:17">
      <c r="A20" s="199">
        <f>A19+($A$32-$A$19)/13</f>
        <v>153.84615384615384</v>
      </c>
      <c r="B20" s="199">
        <f t="shared" si="4"/>
        <v>108.73913043478265</v>
      </c>
      <c r="C20" s="199">
        <f t="shared" si="0"/>
        <v>48.534107402031943</v>
      </c>
      <c r="D20" s="199">
        <f t="shared" si="2"/>
        <v>26.400000000000009</v>
      </c>
      <c r="E20" s="199">
        <f t="shared" si="6"/>
        <v>29.714285714285708</v>
      </c>
      <c r="F20" s="201">
        <v>22</v>
      </c>
      <c r="G20" s="199">
        <f t="shared" ref="G20:G27" si="7">G19+($G$28-$G$18)/10</f>
        <v>2200</v>
      </c>
      <c r="N20" s="201" t="s">
        <v>152</v>
      </c>
      <c r="O20" s="201">
        <v>49</v>
      </c>
      <c r="P20" s="201">
        <v>4900</v>
      </c>
      <c r="Q20" s="201">
        <f t="shared" si="1"/>
        <v>100</v>
      </c>
    </row>
    <row r="21" spans="1:17">
      <c r="A21" s="199">
        <f t="shared" ref="A21:A31" si="8">A20+($A$32-$A$19)/13</f>
        <v>157.69230769230768</v>
      </c>
      <c r="B21" s="199">
        <f t="shared" si="4"/>
        <v>111.91304347826092</v>
      </c>
      <c r="C21" s="199">
        <f t="shared" si="0"/>
        <v>50.740203193033395</v>
      </c>
      <c r="D21" s="199">
        <f t="shared" si="2"/>
        <v>27.20000000000001</v>
      </c>
      <c r="E21" s="199">
        <f t="shared" si="6"/>
        <v>29.999999999999993</v>
      </c>
      <c r="F21" s="201">
        <v>23</v>
      </c>
      <c r="G21" s="199">
        <f t="shared" si="7"/>
        <v>2250</v>
      </c>
      <c r="N21" s="201" t="s">
        <v>152</v>
      </c>
      <c r="O21" s="201">
        <v>36</v>
      </c>
      <c r="P21" s="201">
        <v>3350</v>
      </c>
      <c r="Q21" s="201">
        <f t="shared" si="1"/>
        <v>93.055555555555557</v>
      </c>
    </row>
    <row r="22" spans="1:17">
      <c r="A22" s="199">
        <f t="shared" si="8"/>
        <v>161.53846153846152</v>
      </c>
      <c r="B22" s="199">
        <f t="shared" si="4"/>
        <v>115.08695652173918</v>
      </c>
      <c r="C22" s="199">
        <f t="shared" si="0"/>
        <v>51.823899371069189</v>
      </c>
      <c r="D22" s="199">
        <f t="shared" si="2"/>
        <v>28.000000000000011</v>
      </c>
      <c r="E22" s="199">
        <f>E21+($E$43-$E$14)/28</f>
        <v>30.285714285714278</v>
      </c>
      <c r="F22" s="199">
        <f>F21+($F$76-$F$20)/57</f>
        <v>23.491228070175438</v>
      </c>
      <c r="G22" s="199">
        <f t="shared" si="7"/>
        <v>2300</v>
      </c>
      <c r="N22" s="201" t="s">
        <v>152</v>
      </c>
      <c r="O22" s="201">
        <v>28</v>
      </c>
      <c r="P22" s="201">
        <v>1700</v>
      </c>
      <c r="Q22" s="201">
        <f t="shared" si="1"/>
        <v>60.714285714285715</v>
      </c>
    </row>
    <row r="23" spans="1:17">
      <c r="A23" s="199">
        <f t="shared" si="8"/>
        <v>165.38461538461536</v>
      </c>
      <c r="B23" s="199">
        <f t="shared" si="4"/>
        <v>118.26086956521745</v>
      </c>
      <c r="C23" s="199">
        <f t="shared" si="0"/>
        <v>52.90759554910499</v>
      </c>
      <c r="D23" s="199">
        <f t="shared" si="2"/>
        <v>28.800000000000011</v>
      </c>
      <c r="E23" s="199">
        <f t="shared" si="6"/>
        <v>30.571428571428562</v>
      </c>
      <c r="F23" s="199">
        <f t="shared" ref="F23:F74" si="9">F22+($F$76-$F$20)/57</f>
        <v>23.982456140350877</v>
      </c>
      <c r="G23" s="199">
        <f t="shared" si="7"/>
        <v>2350</v>
      </c>
      <c r="N23" s="201" t="s">
        <v>152</v>
      </c>
      <c r="O23" s="201">
        <v>18</v>
      </c>
      <c r="P23" s="201">
        <v>1350</v>
      </c>
      <c r="Q23" s="201">
        <f t="shared" si="1"/>
        <v>75</v>
      </c>
    </row>
    <row r="24" spans="1:17">
      <c r="A24" s="199">
        <f t="shared" si="8"/>
        <v>169.2307692307692</v>
      </c>
      <c r="B24" s="199">
        <f t="shared" si="4"/>
        <v>121.43478260869571</v>
      </c>
      <c r="C24" s="199">
        <f t="shared" si="0"/>
        <v>53.991291727140791</v>
      </c>
      <c r="D24" s="199">
        <f t="shared" si="2"/>
        <v>29.600000000000012</v>
      </c>
      <c r="E24" s="199">
        <f t="shared" si="6"/>
        <v>30.857142857142847</v>
      </c>
      <c r="F24" s="199">
        <f t="shared" si="9"/>
        <v>24.473684210526315</v>
      </c>
      <c r="G24" s="199">
        <f t="shared" si="7"/>
        <v>2400</v>
      </c>
      <c r="N24" s="201" t="s">
        <v>152</v>
      </c>
      <c r="O24" s="201">
        <v>11</v>
      </c>
      <c r="P24" s="201">
        <v>900</v>
      </c>
      <c r="Q24" s="201">
        <f t="shared" si="1"/>
        <v>81.818181818181813</v>
      </c>
    </row>
    <row r="25" spans="1:17">
      <c r="A25" s="199">
        <f t="shared" si="8"/>
        <v>173.07692307692304</v>
      </c>
      <c r="B25" s="199">
        <f t="shared" si="4"/>
        <v>124.60869565217398</v>
      </c>
      <c r="C25" s="199">
        <f t="shared" si="0"/>
        <v>55.074987905176592</v>
      </c>
      <c r="D25" s="199">
        <f t="shared" si="2"/>
        <v>30.400000000000013</v>
      </c>
      <c r="E25" s="199">
        <f t="shared" si="6"/>
        <v>31.142857142857132</v>
      </c>
      <c r="F25" s="199">
        <f t="shared" si="9"/>
        <v>24.964912280701753</v>
      </c>
      <c r="G25" s="199">
        <f t="shared" si="7"/>
        <v>2450</v>
      </c>
      <c r="N25" s="201" t="s">
        <v>117</v>
      </c>
      <c r="O25" s="201">
        <v>5.5</v>
      </c>
      <c r="P25" s="201">
        <v>470</v>
      </c>
      <c r="Q25" s="201">
        <f t="shared" si="1"/>
        <v>85.454545454545453</v>
      </c>
    </row>
    <row r="26" spans="1:17">
      <c r="A26" s="199">
        <f t="shared" si="8"/>
        <v>176.92307692307688</v>
      </c>
      <c r="B26" s="199">
        <f t="shared" si="4"/>
        <v>127.78260869565224</v>
      </c>
      <c r="C26" s="199">
        <f t="shared" si="0"/>
        <v>56.158684083212393</v>
      </c>
      <c r="D26" s="199">
        <f t="shared" si="2"/>
        <v>31.200000000000014</v>
      </c>
      <c r="E26" s="199">
        <f t="shared" si="6"/>
        <v>31.428571428571416</v>
      </c>
      <c r="F26" s="199">
        <f t="shared" si="9"/>
        <v>25.456140350877192</v>
      </c>
      <c r="G26" s="199">
        <f t="shared" si="7"/>
        <v>2500</v>
      </c>
      <c r="N26" s="201" t="s">
        <v>117</v>
      </c>
      <c r="O26" s="201">
        <v>8</v>
      </c>
      <c r="P26" s="201">
        <v>806</v>
      </c>
      <c r="Q26" s="201">
        <f t="shared" si="1"/>
        <v>100.75</v>
      </c>
    </row>
    <row r="27" spans="1:17">
      <c r="A27" s="199">
        <f t="shared" si="8"/>
        <v>180.76923076923072</v>
      </c>
      <c r="B27" s="199">
        <f t="shared" si="4"/>
        <v>130.95652173913049</v>
      </c>
      <c r="C27" s="199">
        <f t="shared" si="0"/>
        <v>57.242380261248194</v>
      </c>
      <c r="D27" s="199">
        <f t="shared" si="2"/>
        <v>32.000000000000014</v>
      </c>
      <c r="E27" s="199">
        <f t="shared" si="6"/>
        <v>31.714285714285701</v>
      </c>
      <c r="F27" s="199">
        <f t="shared" si="9"/>
        <v>25.94736842105263</v>
      </c>
      <c r="G27" s="199">
        <f t="shared" si="7"/>
        <v>2550</v>
      </c>
      <c r="N27" s="201" t="s">
        <v>117</v>
      </c>
      <c r="O27" s="201">
        <v>10</v>
      </c>
      <c r="P27" s="201">
        <v>1055</v>
      </c>
      <c r="Q27" s="201">
        <f t="shared" si="1"/>
        <v>105.5</v>
      </c>
    </row>
    <row r="28" spans="1:17">
      <c r="A28" s="199">
        <f t="shared" si="8"/>
        <v>184.61538461538456</v>
      </c>
      <c r="B28" s="199">
        <f t="shared" si="4"/>
        <v>134.13043478260875</v>
      </c>
      <c r="C28" s="199">
        <f t="shared" si="0"/>
        <v>58.326076439283995</v>
      </c>
      <c r="D28" s="199">
        <f t="shared" si="2"/>
        <v>32.800000000000011</v>
      </c>
      <c r="E28" s="199">
        <f t="shared" si="6"/>
        <v>31.999999999999986</v>
      </c>
      <c r="F28" s="199">
        <f t="shared" si="9"/>
        <v>26.438596491228068</v>
      </c>
      <c r="G28" s="199">
        <v>2600</v>
      </c>
      <c r="N28" s="201" t="s">
        <v>117</v>
      </c>
      <c r="O28" s="201">
        <v>13</v>
      </c>
      <c r="P28" s="201">
        <v>1521</v>
      </c>
      <c r="Q28" s="201">
        <f t="shared" si="1"/>
        <v>117</v>
      </c>
    </row>
    <row r="29" spans="1:17">
      <c r="A29" s="199">
        <f t="shared" si="8"/>
        <v>188.4615384615384</v>
      </c>
      <c r="B29" s="199">
        <f t="shared" si="4"/>
        <v>137.304347826087</v>
      </c>
      <c r="C29" s="199">
        <f t="shared" si="0"/>
        <v>59.409772617319796</v>
      </c>
      <c r="D29" s="199">
        <f t="shared" si="2"/>
        <v>33.600000000000009</v>
      </c>
      <c r="E29" s="199">
        <f t="shared" si="6"/>
        <v>32.28571428571427</v>
      </c>
      <c r="F29" s="199">
        <f t="shared" si="9"/>
        <v>26.929824561403507</v>
      </c>
      <c r="G29" s="201">
        <v>2650</v>
      </c>
      <c r="N29" s="201" t="s">
        <v>117</v>
      </c>
      <c r="O29" s="201">
        <v>20</v>
      </c>
      <c r="P29" s="201">
        <v>2100</v>
      </c>
      <c r="Q29" s="201">
        <f t="shared" si="1"/>
        <v>105</v>
      </c>
    </row>
    <row r="30" spans="1:17">
      <c r="A30" s="199">
        <f t="shared" si="8"/>
        <v>192.30769230769224</v>
      </c>
      <c r="B30" s="199">
        <f t="shared" si="4"/>
        <v>140.47826086956525</v>
      </c>
      <c r="C30" s="199">
        <f t="shared" si="0"/>
        <v>60.493468795355597</v>
      </c>
      <c r="D30" s="199">
        <f t="shared" si="2"/>
        <v>34.400000000000006</v>
      </c>
      <c r="E30" s="199">
        <f t="shared" si="6"/>
        <v>32.571428571428555</v>
      </c>
      <c r="F30" s="199">
        <f t="shared" si="9"/>
        <v>27.421052631578945</v>
      </c>
      <c r="G30" s="201">
        <v>2700</v>
      </c>
      <c r="N30" s="201" t="s">
        <v>117</v>
      </c>
      <c r="O30" s="201">
        <v>30</v>
      </c>
      <c r="P30" s="201">
        <v>2600</v>
      </c>
      <c r="Q30" s="201">
        <f t="shared" si="1"/>
        <v>86.666666666666671</v>
      </c>
    </row>
    <row r="31" spans="1:17">
      <c r="A31" s="199">
        <f t="shared" si="8"/>
        <v>196.15384615384608</v>
      </c>
      <c r="B31" s="199">
        <f t="shared" si="4"/>
        <v>143.6521739130435</v>
      </c>
      <c r="C31" s="199">
        <f t="shared" si="0"/>
        <v>61.577164973391397</v>
      </c>
      <c r="D31" s="199">
        <f t="shared" si="2"/>
        <v>35.200000000000003</v>
      </c>
      <c r="E31" s="199">
        <f t="shared" si="6"/>
        <v>32.85714285714284</v>
      </c>
      <c r="F31" s="199">
        <f t="shared" si="9"/>
        <v>27.912280701754383</v>
      </c>
      <c r="G31" s="201">
        <v>2750</v>
      </c>
    </row>
    <row r="32" spans="1:17">
      <c r="A32" s="201">
        <v>200</v>
      </c>
      <c r="B32" s="199">
        <f t="shared" si="4"/>
        <v>146.82608695652175</v>
      </c>
      <c r="C32" s="199">
        <f t="shared" si="0"/>
        <v>62.660861151427198</v>
      </c>
      <c r="D32" s="199">
        <v>36</v>
      </c>
      <c r="E32" s="199">
        <f t="shared" si="6"/>
        <v>33.142857142857125</v>
      </c>
      <c r="F32" s="199">
        <f t="shared" si="9"/>
        <v>28.403508771929822</v>
      </c>
      <c r="G32" s="201">
        <v>2800</v>
      </c>
    </row>
    <row r="33" spans="1:7">
      <c r="A33" s="199">
        <f>A32+($A$60-$A$32)/28</f>
        <v>203.57142857142858</v>
      </c>
      <c r="B33" s="199">
        <v>150</v>
      </c>
      <c r="C33" s="199">
        <f t="shared" si="0"/>
        <v>63.744557329462992</v>
      </c>
      <c r="D33" s="199">
        <f>D32+($D$96-$D$32)/65</f>
        <v>36.676923076923075</v>
      </c>
      <c r="E33" s="199">
        <f t="shared" si="6"/>
        <v>33.428571428571409</v>
      </c>
      <c r="F33" s="199">
        <f t="shared" si="9"/>
        <v>28.89473684210526</v>
      </c>
      <c r="G33" s="201">
        <v>2850</v>
      </c>
    </row>
    <row r="34" spans="1:7">
      <c r="A34" s="199">
        <f t="shared" ref="A34:A59" si="10">A33+($A$60-$A$32)/28</f>
        <v>207.14285714285717</v>
      </c>
      <c r="B34" s="199">
        <f>B33-B32+B33</f>
        <v>153.17391304347825</v>
      </c>
      <c r="C34" s="199">
        <f t="shared" si="0"/>
        <v>64.8282535074988</v>
      </c>
      <c r="D34" s="199">
        <f t="shared" ref="D34:D95" si="11">D33+($D$96-$D$32)/65</f>
        <v>37.353846153846149</v>
      </c>
      <c r="E34" s="199">
        <f t="shared" si="6"/>
        <v>33.714285714285694</v>
      </c>
      <c r="F34" s="199">
        <f t="shared" si="9"/>
        <v>29.385964912280699</v>
      </c>
      <c r="G34" s="201">
        <v>2900</v>
      </c>
    </row>
    <row r="35" spans="1:7">
      <c r="A35" s="199">
        <f t="shared" si="10"/>
        <v>210.71428571428575</v>
      </c>
      <c r="B35" s="199">
        <f t="shared" ref="A35:B61" si="12">B34-B33+B34</f>
        <v>156.3478260869565</v>
      </c>
      <c r="C35" s="199">
        <f t="shared" si="0"/>
        <v>65.911949685534594</v>
      </c>
      <c r="D35" s="199">
        <f t="shared" si="11"/>
        <v>38.030769230769224</v>
      </c>
      <c r="E35" s="199">
        <f t="shared" si="6"/>
        <v>33.999999999999979</v>
      </c>
      <c r="F35" s="199">
        <f t="shared" si="9"/>
        <v>29.877192982456137</v>
      </c>
      <c r="G35" s="201">
        <v>2950</v>
      </c>
    </row>
    <row r="36" spans="1:7">
      <c r="A36" s="199">
        <f t="shared" si="10"/>
        <v>214.28571428571433</v>
      </c>
      <c r="B36" s="199">
        <f t="shared" si="12"/>
        <v>159.52173913043475</v>
      </c>
      <c r="C36" s="199">
        <f t="shared" si="0"/>
        <v>66.995645863570402</v>
      </c>
      <c r="D36" s="199">
        <f t="shared" si="11"/>
        <v>38.707692307692298</v>
      </c>
      <c r="E36" s="199">
        <f t="shared" si="6"/>
        <v>34.285714285714263</v>
      </c>
      <c r="F36" s="199">
        <f t="shared" si="9"/>
        <v>30.368421052631575</v>
      </c>
      <c r="G36" s="201">
        <v>3000</v>
      </c>
    </row>
    <row r="37" spans="1:7">
      <c r="A37" s="199">
        <f t="shared" si="10"/>
        <v>217.85714285714292</v>
      </c>
      <c r="B37" s="199">
        <f t="shared" si="12"/>
        <v>162.695652173913</v>
      </c>
      <c r="C37" s="199">
        <f t="shared" si="0"/>
        <v>68.079342041606196</v>
      </c>
      <c r="D37" s="199">
        <f t="shared" si="11"/>
        <v>39.384615384615373</v>
      </c>
      <c r="E37" s="199">
        <f t="shared" si="6"/>
        <v>34.571428571428548</v>
      </c>
      <c r="F37" s="199">
        <f t="shared" si="9"/>
        <v>30.859649122807014</v>
      </c>
      <c r="G37" s="201">
        <v>3050</v>
      </c>
    </row>
    <row r="38" spans="1:7">
      <c r="A38" s="199">
        <f t="shared" si="10"/>
        <v>221.4285714285715</v>
      </c>
      <c r="B38" s="199">
        <f t="shared" si="12"/>
        <v>165.86956521739125</v>
      </c>
      <c r="C38" s="199">
        <f t="shared" si="0"/>
        <v>69.163038219642004</v>
      </c>
      <c r="D38" s="199">
        <f t="shared" si="11"/>
        <v>40.061538461538447</v>
      </c>
      <c r="E38" s="199">
        <f t="shared" si="6"/>
        <v>34.857142857142833</v>
      </c>
      <c r="F38" s="199">
        <f t="shared" si="9"/>
        <v>31.350877192982452</v>
      </c>
      <c r="G38" s="201">
        <v>3100</v>
      </c>
    </row>
    <row r="39" spans="1:7">
      <c r="A39" s="199">
        <f t="shared" si="10"/>
        <v>225.00000000000009</v>
      </c>
      <c r="B39" s="199">
        <f t="shared" si="12"/>
        <v>169.04347826086951</v>
      </c>
      <c r="C39" s="199">
        <f t="shared" si="0"/>
        <v>70.246734397677798</v>
      </c>
      <c r="D39" s="199">
        <f t="shared" si="11"/>
        <v>40.738461538461522</v>
      </c>
      <c r="E39" s="199">
        <f t="shared" si="6"/>
        <v>35.142857142857117</v>
      </c>
      <c r="F39" s="199">
        <f t="shared" si="9"/>
        <v>31.84210526315789</v>
      </c>
      <c r="G39" s="201">
        <v>3150</v>
      </c>
    </row>
    <row r="40" spans="1:7">
      <c r="A40" s="199">
        <f t="shared" si="10"/>
        <v>228.57142857142867</v>
      </c>
      <c r="B40" s="199">
        <f t="shared" si="12"/>
        <v>172.21739130434776</v>
      </c>
      <c r="C40" s="199">
        <f t="shared" si="0"/>
        <v>71.330430575713592</v>
      </c>
      <c r="D40" s="199">
        <f t="shared" si="11"/>
        <v>41.415384615384596</v>
      </c>
      <c r="E40" s="199">
        <f t="shared" si="6"/>
        <v>35.428571428571402</v>
      </c>
      <c r="F40" s="199">
        <f t="shared" si="9"/>
        <v>32.333333333333329</v>
      </c>
      <c r="G40" s="201">
        <v>3200</v>
      </c>
    </row>
    <row r="41" spans="1:7">
      <c r="A41" s="199">
        <f t="shared" si="10"/>
        <v>232.14285714285725</v>
      </c>
      <c r="B41" s="199">
        <f t="shared" si="12"/>
        <v>175.39130434782601</v>
      </c>
      <c r="C41" s="199">
        <f t="shared" si="0"/>
        <v>72.4141267537494</v>
      </c>
      <c r="D41" s="199">
        <f t="shared" si="11"/>
        <v>42.092307692307671</v>
      </c>
      <c r="E41" s="199">
        <f t="shared" si="6"/>
        <v>35.714285714285687</v>
      </c>
      <c r="F41" s="199">
        <f t="shared" si="9"/>
        <v>32.824561403508767</v>
      </c>
      <c r="G41" s="201">
        <v>3250</v>
      </c>
    </row>
    <row r="42" spans="1:7">
      <c r="A42" s="199">
        <f t="shared" si="10"/>
        <v>235.71428571428584</v>
      </c>
      <c r="B42" s="199">
        <f t="shared" si="12"/>
        <v>178.56521739130426</v>
      </c>
      <c r="C42" s="199">
        <f t="shared" si="0"/>
        <v>73.497822931785194</v>
      </c>
      <c r="D42" s="199">
        <f t="shared" si="11"/>
        <v>42.769230769230745</v>
      </c>
      <c r="E42" s="199">
        <f t="shared" si="6"/>
        <v>35.999999999999972</v>
      </c>
      <c r="F42" s="199">
        <f t="shared" si="9"/>
        <v>33.315789473684205</v>
      </c>
      <c r="G42" s="201">
        <v>3300</v>
      </c>
    </row>
    <row r="43" spans="1:7">
      <c r="A43" s="199">
        <f t="shared" si="10"/>
        <v>239.28571428571442</v>
      </c>
      <c r="B43" s="199">
        <f t="shared" si="12"/>
        <v>181.73913043478251</v>
      </c>
      <c r="C43" s="199">
        <f t="shared" si="0"/>
        <v>74.581519109821002</v>
      </c>
      <c r="D43" s="199">
        <f t="shared" si="11"/>
        <v>43.44615384615382</v>
      </c>
      <c r="E43" s="199">
        <v>36</v>
      </c>
      <c r="F43" s="199">
        <f t="shared" si="9"/>
        <v>33.807017543859644</v>
      </c>
      <c r="G43" s="201">
        <v>3350</v>
      </c>
    </row>
    <row r="44" spans="1:7">
      <c r="A44" s="199">
        <f t="shared" si="10"/>
        <v>242.857142857143</v>
      </c>
      <c r="B44" s="199">
        <f t="shared" si="12"/>
        <v>184.91304347826076</v>
      </c>
      <c r="C44" s="199">
        <f t="shared" si="0"/>
        <v>75.665215287856796</v>
      </c>
      <c r="D44" s="199">
        <f t="shared" si="11"/>
        <v>44.123076923076894</v>
      </c>
      <c r="E44" s="199">
        <f>E43+($E$74-$E$43)/31</f>
        <v>36.516129032258064</v>
      </c>
      <c r="F44" s="199">
        <f t="shared" si="9"/>
        <v>34.298245614035082</v>
      </c>
      <c r="G44" s="201">
        <v>3400</v>
      </c>
    </row>
    <row r="45" spans="1:7">
      <c r="A45" s="199">
        <f t="shared" si="10"/>
        <v>246.42857142857159</v>
      </c>
      <c r="B45" s="199">
        <f t="shared" si="12"/>
        <v>188.08695652173901</v>
      </c>
      <c r="C45" s="199">
        <f t="shared" si="0"/>
        <v>76.748911465892604</v>
      </c>
      <c r="D45" s="199">
        <f t="shared" si="11"/>
        <v>44.799999999999969</v>
      </c>
      <c r="E45" s="199">
        <f t="shared" ref="E45:E73" si="13">E44+($E$74-$E$43)/31</f>
        <v>37.032258064516128</v>
      </c>
      <c r="F45" s="199">
        <f t="shared" si="9"/>
        <v>34.78947368421052</v>
      </c>
      <c r="G45" s="201">
        <v>3450</v>
      </c>
    </row>
    <row r="46" spans="1:7">
      <c r="A46" s="199">
        <f t="shared" si="10"/>
        <v>250.00000000000017</v>
      </c>
      <c r="B46" s="199">
        <f t="shared" si="12"/>
        <v>191.26086956521726</v>
      </c>
      <c r="C46" s="199">
        <f t="shared" si="0"/>
        <v>77.832607643928398</v>
      </c>
      <c r="D46" s="199">
        <f t="shared" si="11"/>
        <v>45.476923076923043</v>
      </c>
      <c r="E46" s="199">
        <f t="shared" si="13"/>
        <v>37.548387096774192</v>
      </c>
      <c r="F46" s="199">
        <f t="shared" si="9"/>
        <v>35.280701754385959</v>
      </c>
      <c r="G46" s="201">
        <v>3500</v>
      </c>
    </row>
    <row r="47" spans="1:7">
      <c r="A47" s="199">
        <f t="shared" si="10"/>
        <v>253.57142857142875</v>
      </c>
      <c r="B47" s="199">
        <f t="shared" si="12"/>
        <v>194.43478260869551</v>
      </c>
      <c r="C47" s="199">
        <f t="shared" si="0"/>
        <v>78.916303821964206</v>
      </c>
      <c r="D47" s="199">
        <f t="shared" si="11"/>
        <v>46.153846153846118</v>
      </c>
      <c r="E47" s="199">
        <f t="shared" si="13"/>
        <v>38.064516129032256</v>
      </c>
      <c r="F47" s="199">
        <f t="shared" si="9"/>
        <v>35.771929824561397</v>
      </c>
      <c r="G47" s="201">
        <v>3550</v>
      </c>
    </row>
    <row r="48" spans="1:7">
      <c r="A48" s="199">
        <f t="shared" si="10"/>
        <v>257.14285714285734</v>
      </c>
      <c r="B48" s="199">
        <f t="shared" si="12"/>
        <v>197.60869565217376</v>
      </c>
      <c r="C48" s="199">
        <v>80</v>
      </c>
      <c r="D48" s="199">
        <f t="shared" si="11"/>
        <v>46.830769230769192</v>
      </c>
      <c r="E48" s="199">
        <f t="shared" si="13"/>
        <v>38.58064516129032</v>
      </c>
      <c r="F48" s="199">
        <f t="shared" si="9"/>
        <v>36.263157894736835</v>
      </c>
      <c r="G48" s="201">
        <v>3600</v>
      </c>
    </row>
    <row r="49" spans="1:7">
      <c r="A49" s="199">
        <f t="shared" si="10"/>
        <v>260.71428571428589</v>
      </c>
      <c r="B49" s="199">
        <f t="shared" si="12"/>
        <v>200.78260869565202</v>
      </c>
      <c r="C49" s="199">
        <f>C48+($C$96-$C$48)/48</f>
        <v>80.9375</v>
      </c>
      <c r="D49" s="199">
        <f t="shared" si="11"/>
        <v>47.507692307692267</v>
      </c>
      <c r="E49" s="199">
        <f t="shared" si="13"/>
        <v>39.096774193548384</v>
      </c>
      <c r="F49" s="199">
        <f t="shared" si="9"/>
        <v>36.754385964912274</v>
      </c>
      <c r="G49" s="201">
        <v>3650</v>
      </c>
    </row>
    <row r="50" spans="1:7">
      <c r="A50" s="199">
        <f t="shared" si="10"/>
        <v>264.28571428571445</v>
      </c>
      <c r="B50" s="199">
        <f t="shared" si="12"/>
        <v>203.95652173913027</v>
      </c>
      <c r="C50" s="199">
        <f t="shared" ref="C50:C95" si="14">C49+($C$96-$C$48)/48</f>
        <v>81.875</v>
      </c>
      <c r="D50" s="199">
        <f t="shared" si="11"/>
        <v>48.184615384615341</v>
      </c>
      <c r="E50" s="199">
        <f t="shared" si="13"/>
        <v>39.612903225806448</v>
      </c>
      <c r="F50" s="199">
        <f t="shared" si="9"/>
        <v>37.245614035087712</v>
      </c>
      <c r="G50" s="201">
        <v>3700</v>
      </c>
    </row>
    <row r="51" spans="1:7">
      <c r="A51" s="199">
        <f t="shared" si="10"/>
        <v>267.857142857143</v>
      </c>
      <c r="B51" s="199">
        <f t="shared" si="12"/>
        <v>207.13043478260852</v>
      </c>
      <c r="C51" s="199">
        <f t="shared" si="14"/>
        <v>82.8125</v>
      </c>
      <c r="D51" s="199">
        <f t="shared" si="11"/>
        <v>48.861538461538416</v>
      </c>
      <c r="E51" s="199">
        <f t="shared" si="13"/>
        <v>40.129032258064512</v>
      </c>
      <c r="F51" s="199">
        <f t="shared" si="9"/>
        <v>37.73684210526315</v>
      </c>
      <c r="G51" s="201">
        <v>3750</v>
      </c>
    </row>
    <row r="52" spans="1:7">
      <c r="A52" s="199">
        <f t="shared" si="10"/>
        <v>271.42857142857156</v>
      </c>
      <c r="B52" s="199">
        <f t="shared" si="12"/>
        <v>210.30434782608677</v>
      </c>
      <c r="C52" s="199">
        <f t="shared" si="14"/>
        <v>83.75</v>
      </c>
      <c r="D52" s="199">
        <f t="shared" si="11"/>
        <v>49.53846153846149</v>
      </c>
      <c r="E52" s="199">
        <f t="shared" si="13"/>
        <v>40.645161290322577</v>
      </c>
      <c r="F52" s="199">
        <f t="shared" si="9"/>
        <v>38.228070175438589</v>
      </c>
      <c r="G52" s="201">
        <v>3800</v>
      </c>
    </row>
    <row r="53" spans="1:7">
      <c r="A53" s="199">
        <f t="shared" si="10"/>
        <v>275.00000000000011</v>
      </c>
      <c r="B53" s="199">
        <f t="shared" si="12"/>
        <v>213.47826086956502</v>
      </c>
      <c r="C53" s="199">
        <f t="shared" si="14"/>
        <v>84.6875</v>
      </c>
      <c r="D53" s="199">
        <f t="shared" si="11"/>
        <v>50.215384615384565</v>
      </c>
      <c r="E53" s="199">
        <f t="shared" si="13"/>
        <v>41.161290322580641</v>
      </c>
      <c r="F53" s="199">
        <f t="shared" si="9"/>
        <v>38.719298245614027</v>
      </c>
      <c r="G53" s="201">
        <v>3850</v>
      </c>
    </row>
    <row r="54" spans="1:7">
      <c r="A54" s="199">
        <f t="shared" si="10"/>
        <v>278.57142857142867</v>
      </c>
      <c r="B54" s="199">
        <f t="shared" si="12"/>
        <v>216.65217391304327</v>
      </c>
      <c r="C54" s="199">
        <f t="shared" si="14"/>
        <v>85.625</v>
      </c>
      <c r="D54" s="199">
        <f t="shared" si="11"/>
        <v>50.892307692307639</v>
      </c>
      <c r="E54" s="199">
        <f t="shared" si="13"/>
        <v>41.677419354838705</v>
      </c>
      <c r="F54" s="199">
        <f t="shared" si="9"/>
        <v>39.210526315789465</v>
      </c>
      <c r="G54" s="201">
        <v>3900</v>
      </c>
    </row>
    <row r="55" spans="1:7">
      <c r="A55" s="199">
        <f t="shared" si="10"/>
        <v>282.14285714285722</v>
      </c>
      <c r="B55" s="199">
        <f t="shared" si="12"/>
        <v>219.82608695652152</v>
      </c>
      <c r="C55" s="199">
        <f t="shared" si="14"/>
        <v>86.5625</v>
      </c>
      <c r="D55" s="199">
        <f t="shared" si="11"/>
        <v>51.569230769230714</v>
      </c>
      <c r="E55" s="199">
        <f t="shared" si="13"/>
        <v>42.193548387096769</v>
      </c>
      <c r="F55" s="199">
        <f t="shared" si="9"/>
        <v>39.701754385964904</v>
      </c>
      <c r="G55" s="201">
        <v>3950</v>
      </c>
    </row>
    <row r="56" spans="1:7">
      <c r="A56" s="199">
        <f t="shared" si="10"/>
        <v>285.71428571428578</v>
      </c>
      <c r="B56" s="199">
        <f t="shared" si="12"/>
        <v>222.99999999999977</v>
      </c>
      <c r="C56" s="199">
        <f t="shared" si="14"/>
        <v>87.5</v>
      </c>
      <c r="D56" s="199">
        <f t="shared" si="11"/>
        <v>52.246153846153788</v>
      </c>
      <c r="E56" s="199">
        <f t="shared" si="13"/>
        <v>42.709677419354833</v>
      </c>
      <c r="F56" s="199">
        <f t="shared" si="9"/>
        <v>40.192982456140342</v>
      </c>
      <c r="G56" s="201">
        <v>4000</v>
      </c>
    </row>
    <row r="57" spans="1:7">
      <c r="A57" s="199">
        <f t="shared" si="10"/>
        <v>289.28571428571433</v>
      </c>
      <c r="B57" s="199">
        <f t="shared" si="12"/>
        <v>226.17391304347802</v>
      </c>
      <c r="C57" s="199">
        <f t="shared" si="14"/>
        <v>88.4375</v>
      </c>
      <c r="D57" s="199">
        <f t="shared" si="11"/>
        <v>52.923076923076863</v>
      </c>
      <c r="E57" s="199">
        <f t="shared" si="13"/>
        <v>43.225806451612897</v>
      </c>
      <c r="F57" s="199">
        <f t="shared" si="9"/>
        <v>40.68421052631578</v>
      </c>
      <c r="G57" s="201">
        <v>4050</v>
      </c>
    </row>
    <row r="58" spans="1:7">
      <c r="A58" s="199">
        <f t="shared" si="10"/>
        <v>292.85714285714289</v>
      </c>
      <c r="B58" s="199">
        <f t="shared" si="12"/>
        <v>229.34782608695627</v>
      </c>
      <c r="C58" s="199">
        <f t="shared" si="14"/>
        <v>89.375</v>
      </c>
      <c r="D58" s="199">
        <f t="shared" si="11"/>
        <v>53.599999999999937</v>
      </c>
      <c r="E58" s="199">
        <f t="shared" si="13"/>
        <v>43.741935483870961</v>
      </c>
      <c r="F58" s="199">
        <f t="shared" si="9"/>
        <v>41.175438596491219</v>
      </c>
      <c r="G58" s="201">
        <v>4100</v>
      </c>
    </row>
    <row r="59" spans="1:7">
      <c r="A59" s="199">
        <f t="shared" si="10"/>
        <v>296.42857142857144</v>
      </c>
      <c r="B59" s="199">
        <f t="shared" si="12"/>
        <v>232.52173913043453</v>
      </c>
      <c r="C59" s="199">
        <f t="shared" si="14"/>
        <v>90.3125</v>
      </c>
      <c r="D59" s="199">
        <f t="shared" si="11"/>
        <v>54.276923076923012</v>
      </c>
      <c r="E59" s="199">
        <f t="shared" si="13"/>
        <v>44.258064516129025</v>
      </c>
      <c r="F59" s="199">
        <f t="shared" si="9"/>
        <v>41.666666666666657</v>
      </c>
      <c r="G59" s="201">
        <v>4150</v>
      </c>
    </row>
    <row r="60" spans="1:7">
      <c r="A60" s="201">
        <v>300</v>
      </c>
      <c r="B60" s="199">
        <f t="shared" si="12"/>
        <v>235.69565217391278</v>
      </c>
      <c r="C60" s="199">
        <f t="shared" si="14"/>
        <v>91.25</v>
      </c>
      <c r="D60" s="199">
        <f t="shared" si="11"/>
        <v>54.953846153846087</v>
      </c>
      <c r="E60" s="199">
        <f t="shared" si="13"/>
        <v>44.774193548387089</v>
      </c>
      <c r="F60" s="199">
        <f t="shared" si="9"/>
        <v>42.157894736842096</v>
      </c>
      <c r="G60" s="201">
        <v>4200</v>
      </c>
    </row>
    <row r="61" spans="1:7">
      <c r="A61" s="199">
        <f t="shared" si="12"/>
        <v>303.57142857142856</v>
      </c>
      <c r="B61" s="199">
        <f t="shared" si="12"/>
        <v>238.86956521739103</v>
      </c>
      <c r="C61" s="199">
        <f t="shared" si="14"/>
        <v>92.1875</v>
      </c>
      <c r="D61" s="199">
        <f t="shared" si="11"/>
        <v>55.630769230769161</v>
      </c>
      <c r="E61" s="199">
        <f t="shared" si="13"/>
        <v>45.290322580645153</v>
      </c>
      <c r="F61" s="199">
        <f t="shared" si="9"/>
        <v>42.649122807017534</v>
      </c>
      <c r="G61" s="201">
        <v>4250</v>
      </c>
    </row>
    <row r="62" spans="1:7">
      <c r="A62" s="199">
        <f t="shared" ref="A62:A97" si="15">A61-A60+A61</f>
        <v>307.14285714285711</v>
      </c>
      <c r="B62" s="199">
        <f t="shared" ref="B62:B97" si="16">B61-B60+B61</f>
        <v>242.04347826086928</v>
      </c>
      <c r="C62" s="199">
        <f t="shared" si="14"/>
        <v>93.125</v>
      </c>
      <c r="D62" s="199">
        <f t="shared" si="11"/>
        <v>56.307692307692236</v>
      </c>
      <c r="E62" s="199">
        <f t="shared" si="13"/>
        <v>45.806451612903217</v>
      </c>
      <c r="F62" s="199">
        <f t="shared" si="9"/>
        <v>43.140350877192972</v>
      </c>
      <c r="G62" s="201">
        <v>4300</v>
      </c>
    </row>
    <row r="63" spans="1:7">
      <c r="A63" s="199">
        <f t="shared" si="15"/>
        <v>310.71428571428567</v>
      </c>
      <c r="B63" s="199">
        <f t="shared" si="16"/>
        <v>245.21739130434753</v>
      </c>
      <c r="C63" s="199">
        <f t="shared" si="14"/>
        <v>94.0625</v>
      </c>
      <c r="D63" s="199">
        <f t="shared" si="11"/>
        <v>56.98461538461531</v>
      </c>
      <c r="E63" s="199">
        <f t="shared" si="13"/>
        <v>46.322580645161281</v>
      </c>
      <c r="F63" s="199">
        <f t="shared" si="9"/>
        <v>43.631578947368411</v>
      </c>
      <c r="G63" s="201">
        <v>4350</v>
      </c>
    </row>
    <row r="64" spans="1:7">
      <c r="A64" s="199">
        <f t="shared" si="15"/>
        <v>314.28571428571422</v>
      </c>
      <c r="B64" s="199">
        <f t="shared" si="16"/>
        <v>248.39130434782578</v>
      </c>
      <c r="C64" s="199">
        <f t="shared" si="14"/>
        <v>95</v>
      </c>
      <c r="D64" s="199">
        <f t="shared" si="11"/>
        <v>57.661538461538385</v>
      </c>
      <c r="E64" s="199">
        <f t="shared" si="13"/>
        <v>46.838709677419345</v>
      </c>
      <c r="F64" s="199">
        <f t="shared" si="9"/>
        <v>44.122807017543849</v>
      </c>
      <c r="G64" s="201">
        <v>4400</v>
      </c>
    </row>
    <row r="65" spans="1:7">
      <c r="A65" s="199">
        <f t="shared" si="15"/>
        <v>317.85714285714278</v>
      </c>
      <c r="B65" s="199">
        <f t="shared" si="16"/>
        <v>251.56521739130403</v>
      </c>
      <c r="C65" s="199">
        <f t="shared" si="14"/>
        <v>95.9375</v>
      </c>
      <c r="D65" s="199">
        <f t="shared" si="11"/>
        <v>58.338461538461459</v>
      </c>
      <c r="E65" s="199">
        <f t="shared" si="13"/>
        <v>47.354838709677409</v>
      </c>
      <c r="F65" s="199">
        <f t="shared" si="9"/>
        <v>44.614035087719287</v>
      </c>
      <c r="G65" s="201">
        <v>4450</v>
      </c>
    </row>
    <row r="66" spans="1:7">
      <c r="A66" s="199">
        <f t="shared" si="15"/>
        <v>321.42857142857133</v>
      </c>
      <c r="B66" s="199">
        <f t="shared" si="16"/>
        <v>254.73913043478228</v>
      </c>
      <c r="C66" s="199">
        <f t="shared" si="14"/>
        <v>96.875</v>
      </c>
      <c r="D66" s="199">
        <f t="shared" si="11"/>
        <v>59.015384615384534</v>
      </c>
      <c r="E66" s="199">
        <f t="shared" si="13"/>
        <v>47.870967741935473</v>
      </c>
      <c r="F66" s="199">
        <f t="shared" si="9"/>
        <v>45.105263157894726</v>
      </c>
      <c r="G66" s="201">
        <v>4500</v>
      </c>
    </row>
    <row r="67" spans="1:7">
      <c r="A67" s="199">
        <f t="shared" si="15"/>
        <v>324.99999999999989</v>
      </c>
      <c r="B67" s="199">
        <f t="shared" si="16"/>
        <v>257.91304347826053</v>
      </c>
      <c r="C67" s="199">
        <f t="shared" si="14"/>
        <v>97.8125</v>
      </c>
      <c r="D67" s="199">
        <f t="shared" si="11"/>
        <v>59.692307692307608</v>
      </c>
      <c r="E67" s="199">
        <f t="shared" si="13"/>
        <v>48.387096774193537</v>
      </c>
      <c r="F67" s="199">
        <f t="shared" si="9"/>
        <v>45.596491228070164</v>
      </c>
      <c r="G67" s="201">
        <v>4550</v>
      </c>
    </row>
    <row r="68" spans="1:7">
      <c r="A68" s="199">
        <f t="shared" si="15"/>
        <v>328.57142857142844</v>
      </c>
      <c r="B68" s="199">
        <f t="shared" si="16"/>
        <v>261.08695652173878</v>
      </c>
      <c r="C68" s="199">
        <f t="shared" si="14"/>
        <v>98.75</v>
      </c>
      <c r="D68" s="199">
        <f t="shared" si="11"/>
        <v>60.369230769230683</v>
      </c>
      <c r="E68" s="199">
        <f t="shared" si="13"/>
        <v>48.903225806451601</v>
      </c>
      <c r="F68" s="199">
        <f t="shared" si="9"/>
        <v>46.087719298245602</v>
      </c>
      <c r="G68" s="201">
        <v>4600</v>
      </c>
    </row>
    <row r="69" spans="1:7">
      <c r="A69" s="199">
        <f t="shared" si="15"/>
        <v>332.142857142857</v>
      </c>
      <c r="B69" s="199">
        <f t="shared" si="16"/>
        <v>264.26086956521704</v>
      </c>
      <c r="C69" s="199">
        <f t="shared" si="14"/>
        <v>99.6875</v>
      </c>
      <c r="D69" s="199">
        <f t="shared" si="11"/>
        <v>61.046153846153757</v>
      </c>
      <c r="E69" s="199">
        <f t="shared" si="13"/>
        <v>49.419354838709666</v>
      </c>
      <c r="F69" s="199">
        <f t="shared" si="9"/>
        <v>46.578947368421041</v>
      </c>
      <c r="G69" s="201">
        <v>4650</v>
      </c>
    </row>
    <row r="70" spans="1:7">
      <c r="A70" s="199">
        <f t="shared" si="15"/>
        <v>335.71428571428555</v>
      </c>
      <c r="B70" s="199">
        <f t="shared" si="16"/>
        <v>267.43478260869529</v>
      </c>
      <c r="C70" s="199">
        <f t="shared" si="14"/>
        <v>100.625</v>
      </c>
      <c r="D70" s="199">
        <f t="shared" si="11"/>
        <v>61.723076923076832</v>
      </c>
      <c r="E70" s="199">
        <f t="shared" si="13"/>
        <v>49.93548387096773</v>
      </c>
      <c r="F70" s="199">
        <f t="shared" si="9"/>
        <v>47.070175438596479</v>
      </c>
      <c r="G70" s="201">
        <v>4700</v>
      </c>
    </row>
    <row r="71" spans="1:7">
      <c r="A71" s="199">
        <f t="shared" si="15"/>
        <v>339.28571428571411</v>
      </c>
      <c r="B71" s="199">
        <f t="shared" si="16"/>
        <v>270.60869565217354</v>
      </c>
      <c r="C71" s="199">
        <f t="shared" si="14"/>
        <v>101.5625</v>
      </c>
      <c r="D71" s="199">
        <f t="shared" si="11"/>
        <v>62.399999999999906</v>
      </c>
      <c r="E71" s="199">
        <f t="shared" si="13"/>
        <v>50.451612903225794</v>
      </c>
      <c r="F71" s="199">
        <f t="shared" si="9"/>
        <v>47.561403508771917</v>
      </c>
      <c r="G71" s="201">
        <v>4750</v>
      </c>
    </row>
    <row r="72" spans="1:7">
      <c r="A72" s="199">
        <f t="shared" si="15"/>
        <v>342.85714285714266</v>
      </c>
      <c r="B72" s="199">
        <f t="shared" si="16"/>
        <v>273.78260869565179</v>
      </c>
      <c r="C72" s="199">
        <f t="shared" si="14"/>
        <v>102.5</v>
      </c>
      <c r="D72" s="199">
        <f t="shared" si="11"/>
        <v>63.076923076922981</v>
      </c>
      <c r="E72" s="199">
        <f t="shared" si="13"/>
        <v>50.967741935483858</v>
      </c>
      <c r="F72" s="199">
        <f t="shared" si="9"/>
        <v>48.052631578947356</v>
      </c>
      <c r="G72" s="201">
        <v>4800</v>
      </c>
    </row>
    <row r="73" spans="1:7">
      <c r="A73" s="199">
        <f t="shared" si="15"/>
        <v>346.42857142857122</v>
      </c>
      <c r="B73" s="199">
        <f t="shared" si="16"/>
        <v>276.95652173913004</v>
      </c>
      <c r="C73" s="199">
        <f t="shared" si="14"/>
        <v>103.4375</v>
      </c>
      <c r="D73" s="199">
        <f t="shared" si="11"/>
        <v>63.753846153846055</v>
      </c>
      <c r="E73" s="198">
        <f t="shared" si="13"/>
        <v>51.483870967741922</v>
      </c>
      <c r="F73" s="198">
        <f t="shared" si="9"/>
        <v>48.543859649122794</v>
      </c>
      <c r="G73" s="201">
        <v>4850</v>
      </c>
    </row>
    <row r="74" spans="1:7">
      <c r="A74" s="199">
        <f t="shared" si="15"/>
        <v>349.99999999999977</v>
      </c>
      <c r="B74" s="199">
        <f t="shared" si="16"/>
        <v>280.13043478260829</v>
      </c>
      <c r="C74" s="199">
        <f t="shared" si="14"/>
        <v>104.375</v>
      </c>
      <c r="D74" s="199">
        <f t="shared" si="11"/>
        <v>64.43076923076913</v>
      </c>
      <c r="E74" s="198">
        <v>52</v>
      </c>
      <c r="F74" s="198">
        <f t="shared" si="9"/>
        <v>49.035087719298232</v>
      </c>
      <c r="G74" s="201">
        <v>4900</v>
      </c>
    </row>
    <row r="75" spans="1:7">
      <c r="A75" s="199">
        <f t="shared" si="15"/>
        <v>353.57142857142833</v>
      </c>
      <c r="B75" s="199">
        <f t="shared" si="16"/>
        <v>283.30434782608654</v>
      </c>
      <c r="C75" s="199">
        <f t="shared" si="14"/>
        <v>105.3125</v>
      </c>
      <c r="D75" s="199">
        <f t="shared" si="11"/>
        <v>65.107692307692204</v>
      </c>
      <c r="E75" s="198">
        <f t="shared" ref="E75:E80" si="17">E74+($E$81-$E$74)/7</f>
        <v>52.857142857142854</v>
      </c>
      <c r="F75" s="198">
        <f>F74+($F$76-$F$20)/40</f>
        <v>49.735087719298235</v>
      </c>
      <c r="G75" s="201">
        <v>4950</v>
      </c>
    </row>
    <row r="76" spans="1:7">
      <c r="A76" s="199">
        <f t="shared" si="15"/>
        <v>357.14285714285688</v>
      </c>
      <c r="B76" s="199">
        <f t="shared" si="16"/>
        <v>286.47826086956479</v>
      </c>
      <c r="C76" s="199">
        <f t="shared" si="14"/>
        <v>106.25</v>
      </c>
      <c r="D76" s="199">
        <f t="shared" si="11"/>
        <v>65.784615384615279</v>
      </c>
      <c r="E76" s="199">
        <f t="shared" si="17"/>
        <v>53.714285714285708</v>
      </c>
      <c r="F76" s="198">
        <v>50</v>
      </c>
      <c r="G76" s="201">
        <v>5000</v>
      </c>
    </row>
    <row r="77" spans="1:7">
      <c r="A77" s="199">
        <f t="shared" si="15"/>
        <v>360.71428571428544</v>
      </c>
      <c r="B77" s="199">
        <f t="shared" si="16"/>
        <v>289.65217391304304</v>
      </c>
      <c r="C77" s="199">
        <f t="shared" si="14"/>
        <v>107.1875</v>
      </c>
      <c r="D77" s="199">
        <f t="shared" si="11"/>
        <v>66.461538461538353</v>
      </c>
      <c r="E77" s="199">
        <f t="shared" si="17"/>
        <v>54.571428571428562</v>
      </c>
      <c r="F77" s="198">
        <f>F76+($F$116-$F$76)/40</f>
        <v>50.325000000000003</v>
      </c>
      <c r="G77" s="201">
        <v>5050</v>
      </c>
    </row>
    <row r="78" spans="1:7">
      <c r="A78" s="199">
        <f t="shared" si="15"/>
        <v>364.28571428571399</v>
      </c>
      <c r="B78" s="199">
        <f t="shared" si="16"/>
        <v>292.82608695652129</v>
      </c>
      <c r="C78" s="199">
        <f t="shared" si="14"/>
        <v>108.125</v>
      </c>
      <c r="D78" s="199">
        <f t="shared" si="11"/>
        <v>67.138461538461428</v>
      </c>
      <c r="E78" s="199">
        <f t="shared" si="17"/>
        <v>55.428571428571416</v>
      </c>
      <c r="F78" s="198">
        <f t="shared" ref="F78:F115" si="18">F77+($F$116-$F$76)/40</f>
        <v>50.650000000000006</v>
      </c>
      <c r="G78" s="201">
        <v>5100</v>
      </c>
    </row>
    <row r="79" spans="1:7">
      <c r="A79" s="199">
        <f t="shared" si="15"/>
        <v>367.85714285714255</v>
      </c>
      <c r="B79" s="199">
        <f t="shared" si="16"/>
        <v>295.99999999999955</v>
      </c>
      <c r="C79" s="199">
        <f t="shared" si="14"/>
        <v>109.0625</v>
      </c>
      <c r="D79" s="199">
        <f t="shared" si="11"/>
        <v>67.815384615384502</v>
      </c>
      <c r="E79" s="199">
        <f t="shared" si="17"/>
        <v>56.28571428571427</v>
      </c>
      <c r="F79" s="198">
        <f t="shared" si="18"/>
        <v>50.975000000000009</v>
      </c>
      <c r="G79" s="201">
        <v>5150</v>
      </c>
    </row>
    <row r="80" spans="1:7">
      <c r="A80" s="199">
        <f t="shared" si="15"/>
        <v>371.4285714285711</v>
      </c>
      <c r="B80" s="199">
        <f t="shared" si="16"/>
        <v>299.1739130434778</v>
      </c>
      <c r="C80" s="199">
        <f t="shared" si="14"/>
        <v>110</v>
      </c>
      <c r="D80" s="199">
        <f t="shared" si="11"/>
        <v>68.492307692307577</v>
      </c>
      <c r="E80" s="199">
        <f t="shared" si="17"/>
        <v>57.142857142857125</v>
      </c>
      <c r="F80" s="198">
        <f t="shared" si="18"/>
        <v>51.300000000000011</v>
      </c>
      <c r="G80" s="201">
        <v>5200</v>
      </c>
    </row>
    <row r="81" spans="1:7">
      <c r="A81" s="199">
        <f t="shared" si="15"/>
        <v>374.99999999999966</v>
      </c>
      <c r="B81" s="199">
        <f t="shared" si="16"/>
        <v>302.34782608695605</v>
      </c>
      <c r="C81" s="199">
        <f t="shared" si="14"/>
        <v>110.9375</v>
      </c>
      <c r="D81" s="199">
        <f t="shared" si="11"/>
        <v>69.169230769230651</v>
      </c>
      <c r="E81" s="199">
        <v>58</v>
      </c>
      <c r="F81" s="198">
        <f t="shared" si="18"/>
        <v>51.625000000000014</v>
      </c>
      <c r="G81" s="201">
        <v>5250</v>
      </c>
    </row>
    <row r="82" spans="1:7">
      <c r="A82" s="199">
        <f t="shared" si="15"/>
        <v>378.57142857142821</v>
      </c>
      <c r="B82" s="199">
        <f t="shared" si="16"/>
        <v>305.5217391304343</v>
      </c>
      <c r="C82" s="199">
        <f t="shared" si="14"/>
        <v>111.875</v>
      </c>
      <c r="D82" s="199">
        <f t="shared" si="11"/>
        <v>69.846153846153726</v>
      </c>
      <c r="E82" s="197">
        <f>E81+($E$116-$E$81)/35</f>
        <v>58.628571428571426</v>
      </c>
      <c r="F82" s="198">
        <f t="shared" si="18"/>
        <v>51.950000000000017</v>
      </c>
      <c r="G82" s="201">
        <v>5300</v>
      </c>
    </row>
    <row r="83" spans="1:7">
      <c r="A83" s="199">
        <f t="shared" si="15"/>
        <v>382.14285714285677</v>
      </c>
      <c r="B83" s="199">
        <f t="shared" si="16"/>
        <v>308.69565217391255</v>
      </c>
      <c r="C83" s="199">
        <f t="shared" si="14"/>
        <v>112.8125</v>
      </c>
      <c r="D83" s="199">
        <f t="shared" si="11"/>
        <v>70.5230769230768</v>
      </c>
      <c r="E83" s="197">
        <f t="shared" ref="E83:E115" si="19">E82+($E$116-$E$81)/35</f>
        <v>59.257142857142853</v>
      </c>
      <c r="F83" s="198">
        <f t="shared" si="18"/>
        <v>52.27500000000002</v>
      </c>
      <c r="G83" s="201">
        <v>5350</v>
      </c>
    </row>
    <row r="84" spans="1:7">
      <c r="A84" s="199">
        <f t="shared" si="15"/>
        <v>385.71428571428532</v>
      </c>
      <c r="B84" s="199">
        <f t="shared" si="16"/>
        <v>311.8695652173908</v>
      </c>
      <c r="C84" s="199">
        <f t="shared" si="14"/>
        <v>113.75</v>
      </c>
      <c r="D84" s="199">
        <f t="shared" si="11"/>
        <v>71.199999999999875</v>
      </c>
      <c r="E84" s="197">
        <f t="shared" si="19"/>
        <v>59.885714285714279</v>
      </c>
      <c r="F84" s="198">
        <f t="shared" si="18"/>
        <v>52.600000000000023</v>
      </c>
      <c r="G84" s="201">
        <v>5400</v>
      </c>
    </row>
    <row r="85" spans="1:7">
      <c r="A85" s="199">
        <f t="shared" si="15"/>
        <v>389.28571428571388</v>
      </c>
      <c r="B85" s="199">
        <f t="shared" si="16"/>
        <v>315.04347826086905</v>
      </c>
      <c r="C85" s="199">
        <f t="shared" si="14"/>
        <v>114.6875</v>
      </c>
      <c r="D85" s="199">
        <f t="shared" si="11"/>
        <v>71.876923076922949</v>
      </c>
      <c r="E85" s="197">
        <f t="shared" si="19"/>
        <v>60.514285714285705</v>
      </c>
      <c r="F85" s="198">
        <f t="shared" si="18"/>
        <v>52.925000000000026</v>
      </c>
      <c r="G85" s="201">
        <v>5450</v>
      </c>
    </row>
    <row r="86" spans="1:7">
      <c r="A86" s="199">
        <f t="shared" si="15"/>
        <v>392.85714285714243</v>
      </c>
      <c r="B86" s="199">
        <f t="shared" si="16"/>
        <v>318.2173913043473</v>
      </c>
      <c r="C86" s="199">
        <f t="shared" si="14"/>
        <v>115.625</v>
      </c>
      <c r="D86" s="199">
        <f t="shared" si="11"/>
        <v>72.553846153846024</v>
      </c>
      <c r="E86" s="197">
        <f t="shared" si="19"/>
        <v>61.142857142857132</v>
      </c>
      <c r="F86" s="198">
        <f t="shared" si="18"/>
        <v>53.250000000000028</v>
      </c>
      <c r="G86" s="201">
        <v>5500</v>
      </c>
    </row>
    <row r="87" spans="1:7">
      <c r="A87" s="199">
        <f t="shared" si="15"/>
        <v>396.42857142857099</v>
      </c>
      <c r="B87" s="199">
        <f t="shared" si="16"/>
        <v>321.39130434782555</v>
      </c>
      <c r="C87" s="199">
        <f t="shared" si="14"/>
        <v>116.5625</v>
      </c>
      <c r="D87" s="199">
        <f t="shared" si="11"/>
        <v>73.230769230769098</v>
      </c>
      <c r="E87" s="197">
        <f t="shared" si="19"/>
        <v>61.771428571428558</v>
      </c>
      <c r="F87" s="198">
        <f t="shared" si="18"/>
        <v>53.575000000000031</v>
      </c>
      <c r="G87" s="201">
        <v>5550</v>
      </c>
    </row>
    <row r="88" spans="1:7">
      <c r="A88" s="199">
        <f t="shared" si="15"/>
        <v>399.99999999999955</v>
      </c>
      <c r="B88" s="199">
        <f t="shared" si="16"/>
        <v>324.5652173913038</v>
      </c>
      <c r="C88" s="199">
        <f t="shared" si="14"/>
        <v>117.5</v>
      </c>
      <c r="D88" s="199">
        <f t="shared" si="11"/>
        <v>73.907692307692173</v>
      </c>
      <c r="E88" s="197">
        <f t="shared" si="19"/>
        <v>62.399999999999984</v>
      </c>
      <c r="F88" s="198">
        <f t="shared" si="18"/>
        <v>53.900000000000034</v>
      </c>
      <c r="G88" s="201">
        <v>5600</v>
      </c>
    </row>
    <row r="89" spans="1:7">
      <c r="A89" s="199">
        <f t="shared" si="15"/>
        <v>403.5714285714281</v>
      </c>
      <c r="B89" s="199">
        <f t="shared" si="16"/>
        <v>327.73913043478206</v>
      </c>
      <c r="C89" s="199">
        <f t="shared" si="14"/>
        <v>118.4375</v>
      </c>
      <c r="D89" s="199">
        <f t="shared" si="11"/>
        <v>74.584615384615248</v>
      </c>
      <c r="E89" s="197">
        <f t="shared" si="19"/>
        <v>63.028571428571411</v>
      </c>
      <c r="F89" s="198">
        <f t="shared" si="18"/>
        <v>54.225000000000037</v>
      </c>
      <c r="G89" s="201">
        <v>5650</v>
      </c>
    </row>
    <row r="90" spans="1:7">
      <c r="A90" s="199">
        <f t="shared" si="15"/>
        <v>407.14285714285666</v>
      </c>
      <c r="B90" s="199">
        <f t="shared" si="16"/>
        <v>330.91304347826031</v>
      </c>
      <c r="C90" s="199">
        <f t="shared" si="14"/>
        <v>119.375</v>
      </c>
      <c r="D90" s="199">
        <f t="shared" si="11"/>
        <v>75.261538461538322</v>
      </c>
      <c r="E90" s="197">
        <f t="shared" si="19"/>
        <v>63.657142857142837</v>
      </c>
      <c r="F90" s="198">
        <f t="shared" si="18"/>
        <v>54.55000000000004</v>
      </c>
      <c r="G90" s="201">
        <v>5700</v>
      </c>
    </row>
    <row r="91" spans="1:7">
      <c r="A91" s="199">
        <f t="shared" si="15"/>
        <v>410.71428571428521</v>
      </c>
      <c r="B91" s="199">
        <f t="shared" si="16"/>
        <v>334.08695652173856</v>
      </c>
      <c r="C91" s="199">
        <f t="shared" si="14"/>
        <v>120.3125</v>
      </c>
      <c r="D91" s="199">
        <f t="shared" si="11"/>
        <v>75.938461538461397</v>
      </c>
      <c r="E91" s="197">
        <f t="shared" si="19"/>
        <v>64.285714285714263</v>
      </c>
      <c r="F91" s="198">
        <f t="shared" si="18"/>
        <v>54.875000000000043</v>
      </c>
      <c r="G91" s="201">
        <v>5750</v>
      </c>
    </row>
    <row r="92" spans="1:7">
      <c r="A92" s="199">
        <f t="shared" si="15"/>
        <v>414.28571428571377</v>
      </c>
      <c r="B92" s="199">
        <f t="shared" si="16"/>
        <v>337.26086956521681</v>
      </c>
      <c r="C92" s="199">
        <f t="shared" si="14"/>
        <v>121.25</v>
      </c>
      <c r="D92" s="199">
        <f t="shared" si="11"/>
        <v>76.615384615384471</v>
      </c>
      <c r="E92" s="197">
        <f t="shared" si="19"/>
        <v>64.914285714285697</v>
      </c>
      <c r="F92" s="198">
        <f t="shared" si="18"/>
        <v>55.200000000000045</v>
      </c>
      <c r="G92" s="201">
        <v>5800</v>
      </c>
    </row>
    <row r="93" spans="1:7">
      <c r="A93" s="199">
        <f t="shared" si="15"/>
        <v>417.85714285714232</v>
      </c>
      <c r="B93" s="199">
        <f t="shared" si="16"/>
        <v>340.43478260869506</v>
      </c>
      <c r="C93" s="199">
        <f t="shared" si="14"/>
        <v>122.1875</v>
      </c>
      <c r="D93" s="199">
        <f t="shared" si="11"/>
        <v>77.292307692307546</v>
      </c>
      <c r="E93" s="197">
        <f t="shared" si="19"/>
        <v>65.54285714285713</v>
      </c>
      <c r="F93" s="198">
        <f t="shared" si="18"/>
        <v>55.525000000000048</v>
      </c>
      <c r="G93" s="201">
        <v>5850</v>
      </c>
    </row>
    <row r="94" spans="1:7">
      <c r="A94" s="199">
        <f t="shared" si="15"/>
        <v>421.42857142857088</v>
      </c>
      <c r="B94" s="199">
        <f t="shared" si="16"/>
        <v>343.60869565217331</v>
      </c>
      <c r="C94" s="199">
        <f t="shared" si="14"/>
        <v>123.125</v>
      </c>
      <c r="D94" s="199">
        <f t="shared" si="11"/>
        <v>77.96923076923062</v>
      </c>
      <c r="E94" s="197">
        <f t="shared" si="19"/>
        <v>66.171428571428564</v>
      </c>
      <c r="F94" s="198">
        <f t="shared" si="18"/>
        <v>55.850000000000051</v>
      </c>
      <c r="G94" s="201">
        <v>5900</v>
      </c>
    </row>
    <row r="95" spans="1:7">
      <c r="A95" s="199">
        <f t="shared" si="15"/>
        <v>424.99999999999943</v>
      </c>
      <c r="B95" s="199">
        <f t="shared" si="16"/>
        <v>346.78260869565156</v>
      </c>
      <c r="C95" s="199">
        <f t="shared" si="14"/>
        <v>124.0625</v>
      </c>
      <c r="D95" s="199">
        <f t="shared" si="11"/>
        <v>78.646153846153695</v>
      </c>
      <c r="E95" s="197">
        <f t="shared" si="19"/>
        <v>66.8</v>
      </c>
      <c r="F95" s="198">
        <f t="shared" si="18"/>
        <v>56.175000000000054</v>
      </c>
      <c r="G95" s="201">
        <v>5950</v>
      </c>
    </row>
    <row r="96" spans="1:7">
      <c r="A96" s="199">
        <f t="shared" si="15"/>
        <v>428.57142857142799</v>
      </c>
      <c r="B96" s="199">
        <f t="shared" si="16"/>
        <v>349.95652173912981</v>
      </c>
      <c r="C96" s="201">
        <v>125</v>
      </c>
      <c r="D96" s="201">
        <v>80</v>
      </c>
      <c r="E96" s="197">
        <f t="shared" si="19"/>
        <v>67.428571428571431</v>
      </c>
      <c r="F96" s="198">
        <f t="shared" si="18"/>
        <v>56.500000000000057</v>
      </c>
      <c r="G96" s="201">
        <v>6000</v>
      </c>
    </row>
    <row r="97" spans="1:7">
      <c r="A97" s="199">
        <f t="shared" si="15"/>
        <v>432.14285714285654</v>
      </c>
      <c r="B97" s="199">
        <f t="shared" si="16"/>
        <v>353.13043478260806</v>
      </c>
      <c r="C97" s="199">
        <f>C96-C95+C96</f>
        <v>125.9375</v>
      </c>
      <c r="D97" s="199">
        <f>D96-D95+D96</f>
        <v>81.353846153846305</v>
      </c>
      <c r="E97" s="197">
        <f t="shared" si="19"/>
        <v>68.057142857142864</v>
      </c>
      <c r="F97" s="198">
        <f t="shared" si="18"/>
        <v>56.82500000000006</v>
      </c>
      <c r="G97" s="201">
        <v>6050</v>
      </c>
    </row>
    <row r="98" spans="1:7">
      <c r="A98" s="199">
        <f t="shared" ref="A98:A116" si="20">A97-A96+A97</f>
        <v>435.7142857142851</v>
      </c>
      <c r="B98" s="199">
        <f t="shared" ref="B98:B116" si="21">B97-B96+B97</f>
        <v>356.30434782608631</v>
      </c>
      <c r="C98" s="199">
        <f t="shared" ref="C98:C116" si="22">C97-C96+C97</f>
        <v>126.875</v>
      </c>
      <c r="D98" s="199">
        <f t="shared" ref="D98:D116" si="23">D97-D96+D97</f>
        <v>82.707692307692611</v>
      </c>
      <c r="E98" s="197">
        <f t="shared" si="19"/>
        <v>68.685714285714297</v>
      </c>
      <c r="F98" s="198">
        <f t="shared" si="18"/>
        <v>57.150000000000063</v>
      </c>
      <c r="G98" s="201">
        <v>6100</v>
      </c>
    </row>
    <row r="99" spans="1:7">
      <c r="A99" s="199">
        <f t="shared" si="20"/>
        <v>439.28571428571365</v>
      </c>
      <c r="B99" s="199">
        <f t="shared" si="21"/>
        <v>359.47826086956456</v>
      </c>
      <c r="C99" s="199">
        <f t="shared" si="22"/>
        <v>127.8125</v>
      </c>
      <c r="D99" s="199">
        <f t="shared" si="23"/>
        <v>84.061538461538916</v>
      </c>
      <c r="E99" s="197">
        <f t="shared" si="19"/>
        <v>69.314285714285731</v>
      </c>
      <c r="F99" s="198">
        <f t="shared" si="18"/>
        <v>57.475000000000065</v>
      </c>
      <c r="G99" s="201">
        <v>6150</v>
      </c>
    </row>
    <row r="100" spans="1:7">
      <c r="A100" s="199">
        <f t="shared" si="20"/>
        <v>442.85714285714221</v>
      </c>
      <c r="B100" s="199">
        <f t="shared" si="21"/>
        <v>362.65217391304282</v>
      </c>
      <c r="C100" s="199">
        <f t="shared" si="22"/>
        <v>128.75</v>
      </c>
      <c r="D100" s="199">
        <f t="shared" si="23"/>
        <v>85.415384615385221</v>
      </c>
      <c r="E100" s="197">
        <f t="shared" si="19"/>
        <v>69.942857142857164</v>
      </c>
      <c r="F100" s="198">
        <f t="shared" si="18"/>
        <v>57.800000000000068</v>
      </c>
      <c r="G100" s="201">
        <v>6200</v>
      </c>
    </row>
    <row r="101" spans="1:7">
      <c r="A101" s="199">
        <f t="shared" si="20"/>
        <v>446.42857142857076</v>
      </c>
      <c r="B101" s="199">
        <f t="shared" si="21"/>
        <v>365.82608695652107</v>
      </c>
      <c r="C101" s="199">
        <f t="shared" si="22"/>
        <v>129.6875</v>
      </c>
      <c r="D101" s="199">
        <f t="shared" si="23"/>
        <v>86.769230769231527</v>
      </c>
      <c r="E101" s="197">
        <f t="shared" si="19"/>
        <v>70.571428571428598</v>
      </c>
      <c r="F101" s="198">
        <f t="shared" si="18"/>
        <v>58.125000000000071</v>
      </c>
      <c r="G101" s="201">
        <v>6250</v>
      </c>
    </row>
    <row r="102" spans="1:7">
      <c r="A102" s="199">
        <f t="shared" si="20"/>
        <v>449.99999999999932</v>
      </c>
      <c r="B102" s="199">
        <f t="shared" si="21"/>
        <v>368.99999999999932</v>
      </c>
      <c r="C102" s="199">
        <f t="shared" si="22"/>
        <v>130.625</v>
      </c>
      <c r="D102" s="199">
        <f t="shared" si="23"/>
        <v>88.123076923077832</v>
      </c>
      <c r="E102" s="197">
        <f t="shared" si="19"/>
        <v>71.200000000000031</v>
      </c>
      <c r="F102" s="198">
        <f t="shared" si="18"/>
        <v>58.450000000000074</v>
      </c>
      <c r="G102" s="201">
        <v>6300</v>
      </c>
    </row>
    <row r="103" spans="1:7">
      <c r="A103" s="199">
        <f t="shared" si="20"/>
        <v>453.57142857142787</v>
      </c>
      <c r="B103" s="199">
        <f t="shared" si="21"/>
        <v>372.17391304347757</v>
      </c>
      <c r="C103" s="199">
        <f t="shared" si="22"/>
        <v>131.5625</v>
      </c>
      <c r="D103" s="199">
        <f t="shared" si="23"/>
        <v>89.476923076924137</v>
      </c>
      <c r="E103" s="197">
        <f t="shared" si="19"/>
        <v>71.828571428571465</v>
      </c>
      <c r="F103" s="198">
        <f t="shared" si="18"/>
        <v>58.775000000000077</v>
      </c>
      <c r="G103" s="201">
        <v>6350</v>
      </c>
    </row>
    <row r="104" spans="1:7">
      <c r="A104" s="199">
        <f t="shared" si="20"/>
        <v>457.14285714285643</v>
      </c>
      <c r="B104" s="199">
        <f t="shared" si="21"/>
        <v>375.34782608695582</v>
      </c>
      <c r="C104" s="199">
        <f t="shared" si="22"/>
        <v>132.5</v>
      </c>
      <c r="D104" s="199">
        <f t="shared" si="23"/>
        <v>90.830769230770443</v>
      </c>
      <c r="E104" s="197">
        <f t="shared" si="19"/>
        <v>72.457142857142898</v>
      </c>
      <c r="F104" s="198">
        <f t="shared" si="18"/>
        <v>59.10000000000008</v>
      </c>
      <c r="G104" s="201">
        <v>6400</v>
      </c>
    </row>
    <row r="105" spans="1:7">
      <c r="A105" s="199">
        <f t="shared" si="20"/>
        <v>460.71428571428498</v>
      </c>
      <c r="B105" s="199">
        <f t="shared" si="21"/>
        <v>378.52173913043407</v>
      </c>
      <c r="C105" s="199">
        <f t="shared" si="22"/>
        <v>133.4375</v>
      </c>
      <c r="D105" s="199">
        <f t="shared" si="23"/>
        <v>92.184615384616748</v>
      </c>
      <c r="E105" s="197">
        <f t="shared" si="19"/>
        <v>73.085714285714332</v>
      </c>
      <c r="F105" s="198">
        <f t="shared" si="18"/>
        <v>59.425000000000082</v>
      </c>
      <c r="G105" s="201">
        <v>6450</v>
      </c>
    </row>
    <row r="106" spans="1:7">
      <c r="A106" s="199">
        <f t="shared" si="20"/>
        <v>464.28571428571354</v>
      </c>
      <c r="B106" s="199">
        <f t="shared" si="21"/>
        <v>381.69565217391232</v>
      </c>
      <c r="C106" s="199">
        <f t="shared" si="22"/>
        <v>134.375</v>
      </c>
      <c r="D106" s="199">
        <f t="shared" si="23"/>
        <v>93.538461538463054</v>
      </c>
      <c r="E106" s="197">
        <f t="shared" si="19"/>
        <v>73.714285714285765</v>
      </c>
      <c r="F106" s="198">
        <f t="shared" si="18"/>
        <v>59.750000000000085</v>
      </c>
      <c r="G106" s="201">
        <v>6500</v>
      </c>
    </row>
    <row r="107" spans="1:7">
      <c r="A107" s="199">
        <f t="shared" si="20"/>
        <v>467.85714285714209</v>
      </c>
      <c r="B107" s="199">
        <f t="shared" si="21"/>
        <v>384.86956521739057</v>
      </c>
      <c r="C107" s="199">
        <f t="shared" si="22"/>
        <v>135.3125</v>
      </c>
      <c r="D107" s="199">
        <f t="shared" si="23"/>
        <v>94.892307692309359</v>
      </c>
      <c r="E107" s="197">
        <f t="shared" si="19"/>
        <v>74.342857142857198</v>
      </c>
      <c r="F107" s="198">
        <f t="shared" si="18"/>
        <v>60.075000000000088</v>
      </c>
      <c r="G107" s="201">
        <v>6550</v>
      </c>
    </row>
    <row r="108" spans="1:7">
      <c r="A108" s="199">
        <f t="shared" si="20"/>
        <v>471.42857142857065</v>
      </c>
      <c r="B108" s="199">
        <f t="shared" si="21"/>
        <v>388.04347826086882</v>
      </c>
      <c r="C108" s="199">
        <f t="shared" si="22"/>
        <v>136.25</v>
      </c>
      <c r="D108" s="199">
        <f t="shared" si="23"/>
        <v>96.246153846155664</v>
      </c>
      <c r="E108" s="197">
        <f t="shared" si="19"/>
        <v>74.971428571428632</v>
      </c>
      <c r="F108" s="198">
        <f t="shared" si="18"/>
        <v>60.400000000000091</v>
      </c>
      <c r="G108" s="201">
        <v>6600</v>
      </c>
    </row>
    <row r="109" spans="1:7">
      <c r="A109" s="199">
        <f t="shared" si="20"/>
        <v>474.9999999999992</v>
      </c>
      <c r="B109" s="199">
        <f t="shared" si="21"/>
        <v>391.21739130434707</v>
      </c>
      <c r="C109" s="199">
        <f t="shared" si="22"/>
        <v>137.1875</v>
      </c>
      <c r="D109" s="199">
        <f t="shared" si="23"/>
        <v>97.60000000000197</v>
      </c>
      <c r="E109" s="197">
        <f t="shared" si="19"/>
        <v>75.600000000000065</v>
      </c>
      <c r="F109" s="198">
        <f t="shared" si="18"/>
        <v>60.725000000000094</v>
      </c>
      <c r="G109" s="201">
        <v>6650</v>
      </c>
    </row>
    <row r="110" spans="1:7">
      <c r="A110" s="199">
        <f t="shared" si="20"/>
        <v>478.57142857142776</v>
      </c>
      <c r="B110" s="199">
        <f t="shared" si="21"/>
        <v>394.39130434782533</v>
      </c>
      <c r="C110" s="199">
        <f t="shared" si="22"/>
        <v>138.125</v>
      </c>
      <c r="D110" s="199">
        <f t="shared" si="23"/>
        <v>98.953846153848275</v>
      </c>
      <c r="E110" s="197">
        <f t="shared" si="19"/>
        <v>76.228571428571499</v>
      </c>
      <c r="F110" s="198">
        <f t="shared" si="18"/>
        <v>61.050000000000097</v>
      </c>
      <c r="G110" s="201">
        <v>6700</v>
      </c>
    </row>
    <row r="111" spans="1:7">
      <c r="A111" s="199">
        <f t="shared" si="20"/>
        <v>482.14285714285631</v>
      </c>
      <c r="B111" s="199">
        <f t="shared" si="21"/>
        <v>397.56521739130358</v>
      </c>
      <c r="C111" s="199">
        <f t="shared" si="22"/>
        <v>139.0625</v>
      </c>
      <c r="D111" s="199">
        <f t="shared" si="23"/>
        <v>100.30769230769458</v>
      </c>
      <c r="E111" s="197">
        <f t="shared" si="19"/>
        <v>76.857142857142932</v>
      </c>
      <c r="F111" s="198">
        <f t="shared" si="18"/>
        <v>61.375000000000099</v>
      </c>
      <c r="G111" s="201">
        <v>6750</v>
      </c>
    </row>
    <row r="112" spans="1:7">
      <c r="A112" s="199">
        <f t="shared" si="20"/>
        <v>485.71428571428487</v>
      </c>
      <c r="B112" s="199">
        <f t="shared" si="21"/>
        <v>400.73913043478183</v>
      </c>
      <c r="C112" s="199">
        <f t="shared" si="22"/>
        <v>140</v>
      </c>
      <c r="D112" s="199">
        <f t="shared" si="23"/>
        <v>101.66153846154089</v>
      </c>
      <c r="E112" s="197">
        <f t="shared" si="19"/>
        <v>77.485714285714366</v>
      </c>
      <c r="F112" s="198">
        <f t="shared" si="18"/>
        <v>61.700000000000102</v>
      </c>
      <c r="G112" s="201">
        <v>6800</v>
      </c>
    </row>
    <row r="113" spans="1:7">
      <c r="A113" s="199">
        <f t="shared" si="20"/>
        <v>489.28571428571342</v>
      </c>
      <c r="B113" s="199">
        <f t="shared" si="21"/>
        <v>403.91304347826008</v>
      </c>
      <c r="C113" s="199">
        <f t="shared" si="22"/>
        <v>140.9375</v>
      </c>
      <c r="D113" s="199">
        <f t="shared" si="23"/>
        <v>103.01538461538719</v>
      </c>
      <c r="E113" s="197">
        <f t="shared" si="19"/>
        <v>78.114285714285799</v>
      </c>
      <c r="F113" s="198">
        <f t="shared" si="18"/>
        <v>62.025000000000105</v>
      </c>
      <c r="G113" s="201">
        <v>6850</v>
      </c>
    </row>
    <row r="114" spans="1:7">
      <c r="A114" s="199">
        <f t="shared" si="20"/>
        <v>492.85714285714198</v>
      </c>
      <c r="B114" s="199">
        <f t="shared" si="21"/>
        <v>407.08695652173833</v>
      </c>
      <c r="C114" s="199">
        <f t="shared" si="22"/>
        <v>141.875</v>
      </c>
      <c r="D114" s="199">
        <f t="shared" si="23"/>
        <v>104.3692307692335</v>
      </c>
      <c r="E114" s="197">
        <f t="shared" si="19"/>
        <v>78.742857142857233</v>
      </c>
      <c r="F114" s="198">
        <f t="shared" si="18"/>
        <v>62.350000000000108</v>
      </c>
      <c r="G114" s="201">
        <v>6900</v>
      </c>
    </row>
    <row r="115" spans="1:7">
      <c r="A115" s="199">
        <f t="shared" si="20"/>
        <v>496.42857142857054</v>
      </c>
      <c r="B115" s="199">
        <f t="shared" si="21"/>
        <v>410.26086956521658</v>
      </c>
      <c r="C115" s="199">
        <f t="shared" si="22"/>
        <v>142.8125</v>
      </c>
      <c r="D115" s="199">
        <f t="shared" si="23"/>
        <v>105.7230769230798</v>
      </c>
      <c r="E115" s="197">
        <f t="shared" si="19"/>
        <v>79.371428571428666</v>
      </c>
      <c r="F115" s="198">
        <f t="shared" si="18"/>
        <v>62.675000000000111</v>
      </c>
      <c r="G115" s="201">
        <v>6950</v>
      </c>
    </row>
    <row r="116" spans="1:7">
      <c r="A116" s="199">
        <f t="shared" si="20"/>
        <v>499.99999999999909</v>
      </c>
      <c r="B116" s="199">
        <f t="shared" si="21"/>
        <v>413.43478260869483</v>
      </c>
      <c r="C116" s="199">
        <f t="shared" si="22"/>
        <v>143.75</v>
      </c>
      <c r="D116" s="199">
        <f t="shared" si="23"/>
        <v>107.07692307692611</v>
      </c>
      <c r="E116" s="201">
        <v>80</v>
      </c>
      <c r="F116" s="201">
        <v>63</v>
      </c>
      <c r="G116" s="201">
        <v>7000</v>
      </c>
    </row>
  </sheetData>
  <pageMargins left="0.7" right="0.7" top="0.78740157499999996" bottom="0.78740157499999996"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304"/>
  <sheetViews>
    <sheetView topLeftCell="A4" zoomScale="70" zoomScaleNormal="70" workbookViewId="0">
      <selection activeCell="U49" sqref="U49"/>
    </sheetView>
  </sheetViews>
  <sheetFormatPr defaultRowHeight="15"/>
  <cols>
    <col min="1" max="1" width="17.5703125" customWidth="1"/>
    <col min="2" max="2" width="44.7109375" customWidth="1"/>
    <col min="3" max="3" width="49.7109375" bestFit="1" customWidth="1"/>
    <col min="4" max="4" width="61.7109375" bestFit="1" customWidth="1"/>
    <col min="5" max="5" width="11.140625" bestFit="1" customWidth="1"/>
    <col min="6" max="6" width="10.5703125" customWidth="1"/>
  </cols>
  <sheetData>
    <row r="1" spans="1:4">
      <c r="A1" t="s">
        <v>78</v>
      </c>
      <c r="C1">
        <f>Zateplení!F10</f>
        <v>0</v>
      </c>
    </row>
    <row r="4" spans="1:4" s="108" customFormat="1">
      <c r="A4" s="106" t="s">
        <v>246</v>
      </c>
      <c r="B4" s="107">
        <f>$C$1</f>
        <v>0</v>
      </c>
      <c r="C4" s="107" t="e">
        <f>VLOOKUP($C$1,parametry!D26:E31,2,0)</f>
        <v>#N/A</v>
      </c>
      <c r="D4" s="107" t="e">
        <f>INDEX(D5:D10,C4)</f>
        <v>#N/A</v>
      </c>
    </row>
    <row r="5" spans="1:4">
      <c r="A5" t="s">
        <v>246</v>
      </c>
      <c r="B5" s="74" t="s">
        <v>19</v>
      </c>
      <c r="C5" s="74">
        <v>1</v>
      </c>
      <c r="D5" s="74" t="s">
        <v>355</v>
      </c>
    </row>
    <row r="6" spans="1:4">
      <c r="A6" t="s">
        <v>246</v>
      </c>
      <c r="B6" s="74" t="s">
        <v>20</v>
      </c>
      <c r="C6" s="74">
        <v>2</v>
      </c>
      <c r="D6" s="74" t="s">
        <v>780</v>
      </c>
    </row>
    <row r="7" spans="1:4">
      <c r="A7" t="s">
        <v>246</v>
      </c>
      <c r="B7" s="74" t="s">
        <v>21</v>
      </c>
      <c r="C7" s="74">
        <v>3</v>
      </c>
      <c r="D7" s="74" t="s">
        <v>356</v>
      </c>
    </row>
    <row r="8" spans="1:4">
      <c r="A8" t="s">
        <v>246</v>
      </c>
      <c r="B8" s="74" t="s">
        <v>22</v>
      </c>
      <c r="C8" s="74">
        <v>4</v>
      </c>
      <c r="D8" s="74" t="s">
        <v>357</v>
      </c>
    </row>
    <row r="9" spans="1:4">
      <c r="A9" t="s">
        <v>246</v>
      </c>
      <c r="B9" s="74" t="s">
        <v>23</v>
      </c>
      <c r="C9" s="74">
        <v>5</v>
      </c>
      <c r="D9" s="74" t="s">
        <v>358</v>
      </c>
    </row>
    <row r="10" spans="1:4">
      <c r="A10" t="s">
        <v>246</v>
      </c>
      <c r="B10" s="74" t="s">
        <v>24</v>
      </c>
      <c r="C10" s="74">
        <v>6</v>
      </c>
      <c r="D10" s="74" t="s">
        <v>359</v>
      </c>
    </row>
    <row r="11" spans="1:4" s="108" customFormat="1">
      <c r="A11" s="106" t="s">
        <v>54</v>
      </c>
      <c r="B11" s="107">
        <f>$C$1</f>
        <v>0</v>
      </c>
      <c r="C11" s="107" t="e">
        <f>$C$4</f>
        <v>#N/A</v>
      </c>
      <c r="D11" s="107" t="e">
        <f>INDEX(D12:D17,C11)</f>
        <v>#N/A</v>
      </c>
    </row>
    <row r="12" spans="1:4">
      <c r="A12" t="s">
        <v>54</v>
      </c>
      <c r="B12" s="74" t="s">
        <v>19</v>
      </c>
      <c r="C12" s="74">
        <v>1</v>
      </c>
      <c r="D12" s="74" t="s">
        <v>360</v>
      </c>
    </row>
    <row r="13" spans="1:4">
      <c r="A13" t="s">
        <v>54</v>
      </c>
      <c r="B13" s="74" t="s">
        <v>20</v>
      </c>
      <c r="C13" s="74">
        <v>2</v>
      </c>
      <c r="D13" s="74" t="s">
        <v>361</v>
      </c>
    </row>
    <row r="14" spans="1:4">
      <c r="A14" t="s">
        <v>54</v>
      </c>
      <c r="B14" s="74" t="s">
        <v>21</v>
      </c>
      <c r="C14" s="74">
        <v>3</v>
      </c>
      <c r="D14" s="74" t="s">
        <v>362</v>
      </c>
    </row>
    <row r="15" spans="1:4">
      <c r="A15" t="s">
        <v>54</v>
      </c>
      <c r="B15" s="74" t="s">
        <v>22</v>
      </c>
      <c r="C15" s="74">
        <v>4</v>
      </c>
      <c r="D15" s="74" t="s">
        <v>363</v>
      </c>
    </row>
    <row r="16" spans="1:4">
      <c r="A16" t="s">
        <v>54</v>
      </c>
      <c r="B16" s="74" t="s">
        <v>23</v>
      </c>
      <c r="C16" s="74">
        <v>5</v>
      </c>
      <c r="D16" s="74" t="s">
        <v>364</v>
      </c>
    </row>
    <row r="17" spans="1:4">
      <c r="A17" t="s">
        <v>54</v>
      </c>
      <c r="B17" s="74" t="s">
        <v>24</v>
      </c>
      <c r="C17" s="74">
        <v>6</v>
      </c>
      <c r="D17" s="74" t="s">
        <v>365</v>
      </c>
    </row>
    <row r="18" spans="1:4" s="108" customFormat="1">
      <c r="A18" s="106" t="s">
        <v>304</v>
      </c>
      <c r="B18" s="107">
        <f>$C$1</f>
        <v>0</v>
      </c>
      <c r="C18" s="107" t="e">
        <f>$C$4</f>
        <v>#N/A</v>
      </c>
      <c r="D18" s="107" t="e">
        <f>INDEX(D19:D24,C18)</f>
        <v>#N/A</v>
      </c>
    </row>
    <row r="19" spans="1:4">
      <c r="A19" t="s">
        <v>304</v>
      </c>
      <c r="B19" s="74" t="s">
        <v>19</v>
      </c>
      <c r="C19" s="74">
        <v>1</v>
      </c>
      <c r="D19" s="74" t="s">
        <v>342</v>
      </c>
    </row>
    <row r="20" spans="1:4">
      <c r="A20" t="s">
        <v>304</v>
      </c>
      <c r="B20" s="74" t="s">
        <v>20</v>
      </c>
      <c r="C20" s="74">
        <v>2</v>
      </c>
      <c r="D20" s="74" t="s">
        <v>343</v>
      </c>
    </row>
    <row r="21" spans="1:4">
      <c r="A21" t="s">
        <v>304</v>
      </c>
      <c r="B21" s="74" t="s">
        <v>21</v>
      </c>
      <c r="C21" s="74">
        <v>3</v>
      </c>
      <c r="D21" s="74" t="s">
        <v>366</v>
      </c>
    </row>
    <row r="22" spans="1:4">
      <c r="A22" t="s">
        <v>304</v>
      </c>
      <c r="B22" s="74" t="s">
        <v>22</v>
      </c>
      <c r="C22" s="74">
        <v>4</v>
      </c>
      <c r="D22" s="74" t="s">
        <v>367</v>
      </c>
    </row>
    <row r="23" spans="1:4">
      <c r="A23" t="s">
        <v>304</v>
      </c>
      <c r="B23" s="74" t="s">
        <v>23</v>
      </c>
      <c r="C23" s="74">
        <v>5</v>
      </c>
      <c r="D23" s="74" t="s">
        <v>368</v>
      </c>
    </row>
    <row r="24" spans="1:4">
      <c r="A24" t="s">
        <v>304</v>
      </c>
      <c r="B24" s="74" t="s">
        <v>24</v>
      </c>
      <c r="C24" s="74">
        <v>6</v>
      </c>
      <c r="D24" s="74" t="s">
        <v>369</v>
      </c>
    </row>
    <row r="25" spans="1:4" s="108" customFormat="1">
      <c r="A25" s="106" t="s">
        <v>260</v>
      </c>
      <c r="B25" s="107">
        <f>$C$1</f>
        <v>0</v>
      </c>
      <c r="C25" s="107" t="e">
        <f>$C$4</f>
        <v>#N/A</v>
      </c>
      <c r="D25" s="107" t="e">
        <f>INDEX(D26:D31,C25)</f>
        <v>#N/A</v>
      </c>
    </row>
    <row r="26" spans="1:4">
      <c r="A26" t="s">
        <v>260</v>
      </c>
      <c r="B26" s="74" t="s">
        <v>19</v>
      </c>
      <c r="C26" s="74">
        <v>1</v>
      </c>
      <c r="D26" s="74" t="s">
        <v>370</v>
      </c>
    </row>
    <row r="27" spans="1:4">
      <c r="A27" t="s">
        <v>260</v>
      </c>
      <c r="B27" s="74" t="s">
        <v>20</v>
      </c>
      <c r="C27" s="74">
        <v>2</v>
      </c>
      <c r="D27" s="74" t="s">
        <v>371</v>
      </c>
    </row>
    <row r="28" spans="1:4">
      <c r="A28" t="s">
        <v>260</v>
      </c>
      <c r="B28" s="74" t="s">
        <v>21</v>
      </c>
      <c r="C28" s="74">
        <v>3</v>
      </c>
      <c r="D28" s="74" t="s">
        <v>372</v>
      </c>
    </row>
    <row r="29" spans="1:4">
      <c r="A29" t="s">
        <v>260</v>
      </c>
      <c r="B29" s="74" t="s">
        <v>22</v>
      </c>
      <c r="C29" s="74">
        <v>4</v>
      </c>
      <c r="D29" s="74" t="s">
        <v>373</v>
      </c>
    </row>
    <row r="30" spans="1:4">
      <c r="A30" t="s">
        <v>260</v>
      </c>
      <c r="B30" s="74" t="s">
        <v>23</v>
      </c>
      <c r="C30" s="74">
        <v>5</v>
      </c>
      <c r="D30" s="74" t="s">
        <v>374</v>
      </c>
    </row>
    <row r="31" spans="1:4">
      <c r="A31" t="s">
        <v>260</v>
      </c>
      <c r="B31" s="74" t="s">
        <v>24</v>
      </c>
      <c r="C31" s="74">
        <v>6</v>
      </c>
      <c r="D31" s="74" t="s">
        <v>375</v>
      </c>
    </row>
    <row r="32" spans="1:4" s="108" customFormat="1">
      <c r="A32" s="106" t="s">
        <v>383</v>
      </c>
      <c r="B32" s="107">
        <f>$C$1</f>
        <v>0</v>
      </c>
      <c r="C32" s="107" t="e">
        <f>$C$4</f>
        <v>#N/A</v>
      </c>
      <c r="D32" s="107" t="e">
        <f>INDEX(D33:D38,C32)</f>
        <v>#N/A</v>
      </c>
    </row>
    <row r="33" spans="1:4">
      <c r="A33" t="s">
        <v>383</v>
      </c>
      <c r="B33" s="74" t="s">
        <v>19</v>
      </c>
      <c r="C33" s="74">
        <v>1</v>
      </c>
      <c r="D33" s="74" t="s">
        <v>376</v>
      </c>
    </row>
    <row r="34" spans="1:4">
      <c r="A34" t="s">
        <v>383</v>
      </c>
      <c r="B34" s="74" t="s">
        <v>20</v>
      </c>
      <c r="C34" s="74">
        <v>2</v>
      </c>
      <c r="D34" s="74" t="s">
        <v>377</v>
      </c>
    </row>
    <row r="35" spans="1:4">
      <c r="A35" t="s">
        <v>383</v>
      </c>
      <c r="B35" s="74" t="s">
        <v>21</v>
      </c>
      <c r="C35" s="74">
        <v>3</v>
      </c>
      <c r="D35" s="74" t="s">
        <v>378</v>
      </c>
    </row>
    <row r="36" spans="1:4">
      <c r="A36" t="s">
        <v>383</v>
      </c>
      <c r="B36" s="74" t="s">
        <v>22</v>
      </c>
      <c r="C36" s="74">
        <v>4</v>
      </c>
      <c r="D36" s="74" t="s">
        <v>379</v>
      </c>
    </row>
    <row r="37" spans="1:4">
      <c r="A37" t="s">
        <v>383</v>
      </c>
      <c r="B37" s="74" t="s">
        <v>23</v>
      </c>
      <c r="C37" s="74">
        <v>5</v>
      </c>
      <c r="D37" s="74" t="s">
        <v>380</v>
      </c>
    </row>
    <row r="38" spans="1:4">
      <c r="A38" t="s">
        <v>383</v>
      </c>
      <c r="B38" s="74" t="s">
        <v>24</v>
      </c>
      <c r="C38" s="74">
        <v>6</v>
      </c>
      <c r="D38" s="74" t="s">
        <v>381</v>
      </c>
    </row>
    <row r="39" spans="1:4" s="108" customFormat="1">
      <c r="A39" s="106" t="s">
        <v>285</v>
      </c>
      <c r="B39" s="107">
        <f>$C$1</f>
        <v>0</v>
      </c>
      <c r="C39" s="107" t="e">
        <f>$C$4</f>
        <v>#N/A</v>
      </c>
      <c r="D39" s="107" t="e">
        <f>INDEX(D40:D45,C39)</f>
        <v>#N/A</v>
      </c>
    </row>
    <row r="40" spans="1:4">
      <c r="A40" t="s">
        <v>285</v>
      </c>
      <c r="B40" s="74" t="s">
        <v>19</v>
      </c>
      <c r="C40" s="74">
        <v>1</v>
      </c>
      <c r="D40" s="74" t="s">
        <v>743</v>
      </c>
    </row>
    <row r="41" spans="1:4">
      <c r="A41" t="s">
        <v>285</v>
      </c>
      <c r="B41" s="74" t="s">
        <v>20</v>
      </c>
      <c r="C41" s="74">
        <v>2</v>
      </c>
      <c r="D41" s="74" t="s">
        <v>744</v>
      </c>
    </row>
    <row r="42" spans="1:4">
      <c r="A42" t="s">
        <v>285</v>
      </c>
      <c r="B42" s="74" t="s">
        <v>21</v>
      </c>
      <c r="C42" s="74">
        <v>3</v>
      </c>
      <c r="D42" s="74" t="s">
        <v>745</v>
      </c>
    </row>
    <row r="43" spans="1:4">
      <c r="A43" t="s">
        <v>285</v>
      </c>
      <c r="B43" s="74" t="s">
        <v>22</v>
      </c>
      <c r="C43" s="74">
        <v>4</v>
      </c>
      <c r="D43" s="74" t="s">
        <v>746</v>
      </c>
    </row>
    <row r="44" spans="1:4">
      <c r="A44" t="s">
        <v>285</v>
      </c>
      <c r="B44" s="74" t="s">
        <v>23</v>
      </c>
      <c r="C44" s="74">
        <v>5</v>
      </c>
      <c r="D44" s="74" t="s">
        <v>747</v>
      </c>
    </row>
    <row r="45" spans="1:4">
      <c r="A45" t="s">
        <v>285</v>
      </c>
      <c r="B45" s="74" t="s">
        <v>24</v>
      </c>
      <c r="C45" s="74">
        <v>6</v>
      </c>
      <c r="D45" s="74" t="s">
        <v>748</v>
      </c>
    </row>
    <row r="46" spans="1:4" s="108" customFormat="1">
      <c r="A46" s="106" t="s">
        <v>289</v>
      </c>
      <c r="B46" s="107">
        <f>$C$1</f>
        <v>0</v>
      </c>
      <c r="C46" s="107" t="e">
        <f>$C$4</f>
        <v>#N/A</v>
      </c>
      <c r="D46" s="107" t="e">
        <f>INDEX(D47:D52,C46)</f>
        <v>#N/A</v>
      </c>
    </row>
    <row r="47" spans="1:4">
      <c r="A47" t="s">
        <v>289</v>
      </c>
      <c r="B47" s="74" t="s">
        <v>19</v>
      </c>
      <c r="C47" s="74">
        <v>1</v>
      </c>
      <c r="D47" s="74" t="s">
        <v>749</v>
      </c>
    </row>
    <row r="48" spans="1:4">
      <c r="A48" t="s">
        <v>289</v>
      </c>
      <c r="B48" s="74" t="s">
        <v>20</v>
      </c>
      <c r="C48" s="74">
        <v>2</v>
      </c>
      <c r="D48" s="74" t="s">
        <v>382</v>
      </c>
    </row>
    <row r="49" spans="1:4">
      <c r="A49" t="s">
        <v>289</v>
      </c>
      <c r="B49" s="74" t="s">
        <v>21</v>
      </c>
      <c r="C49" s="74">
        <v>3</v>
      </c>
      <c r="D49" s="74" t="s">
        <v>750</v>
      </c>
    </row>
    <row r="50" spans="1:4">
      <c r="A50" t="s">
        <v>289</v>
      </c>
      <c r="B50" s="74" t="s">
        <v>22</v>
      </c>
      <c r="C50" s="74">
        <v>4</v>
      </c>
      <c r="D50" s="74" t="s">
        <v>751</v>
      </c>
    </row>
    <row r="51" spans="1:4">
      <c r="A51" t="s">
        <v>289</v>
      </c>
      <c r="B51" s="74" t="s">
        <v>23</v>
      </c>
      <c r="C51" s="74">
        <v>5</v>
      </c>
      <c r="D51" s="74" t="s">
        <v>752</v>
      </c>
    </row>
    <row r="52" spans="1:4">
      <c r="A52" t="s">
        <v>289</v>
      </c>
      <c r="B52" s="74" t="s">
        <v>24</v>
      </c>
      <c r="C52" s="74">
        <v>6</v>
      </c>
      <c r="D52" s="74" t="s">
        <v>753</v>
      </c>
    </row>
    <row r="53" spans="1:4" s="108" customFormat="1">
      <c r="A53" s="106" t="s">
        <v>291</v>
      </c>
      <c r="B53" s="107">
        <f>$C$1</f>
        <v>0</v>
      </c>
      <c r="C53" s="107" t="e">
        <f>$C$4</f>
        <v>#N/A</v>
      </c>
      <c r="D53" s="107" t="e">
        <f>INDEX(D54:D59,C53)</f>
        <v>#N/A</v>
      </c>
    </row>
    <row r="54" spans="1:4">
      <c r="A54" s="78" t="s">
        <v>291</v>
      </c>
      <c r="B54" s="74" t="s">
        <v>19</v>
      </c>
      <c r="C54" s="74">
        <v>1</v>
      </c>
      <c r="D54" s="74" t="s">
        <v>754</v>
      </c>
    </row>
    <row r="55" spans="1:4">
      <c r="A55" s="78" t="s">
        <v>291</v>
      </c>
      <c r="B55" s="74" t="s">
        <v>20</v>
      </c>
      <c r="C55" s="74">
        <v>2</v>
      </c>
      <c r="D55" s="74" t="s">
        <v>755</v>
      </c>
    </row>
    <row r="56" spans="1:4">
      <c r="A56" s="78" t="s">
        <v>291</v>
      </c>
      <c r="B56" s="74" t="s">
        <v>21</v>
      </c>
      <c r="C56" s="74">
        <v>3</v>
      </c>
      <c r="D56" s="74" t="s">
        <v>756</v>
      </c>
    </row>
    <row r="57" spans="1:4">
      <c r="A57" s="78" t="s">
        <v>291</v>
      </c>
      <c r="B57" s="74" t="s">
        <v>22</v>
      </c>
      <c r="C57" s="74">
        <v>4</v>
      </c>
      <c r="D57" s="74" t="s">
        <v>757</v>
      </c>
    </row>
    <row r="58" spans="1:4">
      <c r="A58" s="78" t="s">
        <v>291</v>
      </c>
      <c r="B58" s="74" t="s">
        <v>23</v>
      </c>
      <c r="C58" s="74">
        <v>5</v>
      </c>
      <c r="D58" s="74" t="s">
        <v>758</v>
      </c>
    </row>
    <row r="59" spans="1:4">
      <c r="A59" s="78" t="s">
        <v>291</v>
      </c>
      <c r="B59" s="74" t="s">
        <v>24</v>
      </c>
      <c r="C59" s="74">
        <v>6</v>
      </c>
      <c r="D59" s="74" t="s">
        <v>759</v>
      </c>
    </row>
    <row r="60" spans="1:4">
      <c r="A60" s="106" t="s">
        <v>349</v>
      </c>
      <c r="B60" s="107">
        <f>$C$1</f>
        <v>0</v>
      </c>
      <c r="C60" s="107" t="e">
        <f>$C$4</f>
        <v>#N/A</v>
      </c>
      <c r="D60" s="107" t="e">
        <f>INDEX(D61:D66,C60)</f>
        <v>#N/A</v>
      </c>
    </row>
    <row r="61" spans="1:4">
      <c r="A61" s="78" t="s">
        <v>349</v>
      </c>
      <c r="B61" s="74" t="s">
        <v>19</v>
      </c>
      <c r="C61" s="74">
        <v>1</v>
      </c>
      <c r="D61" s="74" t="s">
        <v>760</v>
      </c>
    </row>
    <row r="62" spans="1:4">
      <c r="A62" s="78" t="s">
        <v>349</v>
      </c>
      <c r="B62" s="74" t="s">
        <v>20</v>
      </c>
      <c r="C62" s="74">
        <v>2</v>
      </c>
      <c r="D62" s="74" t="s">
        <v>761</v>
      </c>
    </row>
    <row r="63" spans="1:4">
      <c r="A63" s="78" t="s">
        <v>349</v>
      </c>
      <c r="B63" s="74" t="s">
        <v>21</v>
      </c>
      <c r="C63" s="74">
        <v>3</v>
      </c>
      <c r="D63" s="74" t="s">
        <v>762</v>
      </c>
    </row>
    <row r="64" spans="1:4">
      <c r="A64" s="78" t="s">
        <v>349</v>
      </c>
      <c r="B64" s="74" t="s">
        <v>22</v>
      </c>
      <c r="C64" s="74">
        <v>4</v>
      </c>
      <c r="D64" s="74" t="s">
        <v>763</v>
      </c>
    </row>
    <row r="65" spans="1:7">
      <c r="A65" s="78" t="s">
        <v>349</v>
      </c>
      <c r="B65" s="74" t="s">
        <v>23</v>
      </c>
      <c r="C65" s="74">
        <v>5</v>
      </c>
      <c r="D65" s="74" t="s">
        <v>765</v>
      </c>
    </row>
    <row r="66" spans="1:7">
      <c r="A66" s="78" t="s">
        <v>349</v>
      </c>
      <c r="B66" s="74" t="s">
        <v>24</v>
      </c>
      <c r="C66" s="74">
        <v>6</v>
      </c>
      <c r="D66" s="74" t="s">
        <v>764</v>
      </c>
    </row>
    <row r="68" spans="1:7">
      <c r="A68" s="1"/>
    </row>
    <row r="69" spans="1:7" ht="38.25">
      <c r="A69" s="65" t="s">
        <v>79</v>
      </c>
      <c r="B69" s="65" t="s">
        <v>78</v>
      </c>
      <c r="C69" s="124" t="s">
        <v>79</v>
      </c>
      <c r="D69" s="66" t="s">
        <v>77</v>
      </c>
      <c r="E69" s="65" t="s">
        <v>239</v>
      </c>
      <c r="F69" s="68" t="s">
        <v>258</v>
      </c>
      <c r="G69" s="68" t="s">
        <v>259</v>
      </c>
    </row>
    <row r="70" spans="1:7">
      <c r="A70" s="1" t="s">
        <v>246</v>
      </c>
      <c r="B70" s="65" t="s">
        <v>19</v>
      </c>
      <c r="C70" s="83" t="s">
        <v>33</v>
      </c>
      <c r="D70" s="66" t="str">
        <f>CONCATENATE(B70,"-",C70)</f>
        <v>&lt; 1920-zdivo z cihel pálených plných tloušťky 450 mm</v>
      </c>
      <c r="E70" s="67">
        <v>1.4</v>
      </c>
      <c r="F70">
        <v>0.3</v>
      </c>
      <c r="G70">
        <v>0.25</v>
      </c>
    </row>
    <row r="71" spans="1:7">
      <c r="A71" s="1" t="s">
        <v>246</v>
      </c>
      <c r="B71" s="65" t="s">
        <v>20</v>
      </c>
      <c r="C71" s="83" t="s">
        <v>33</v>
      </c>
      <c r="D71" s="66" t="str">
        <f t="shared" ref="D71:D106" si="0">CONCATENATE(B71,"-",C71)</f>
        <v>1921 až 1945-zdivo z cihel pálených plných tloušťky 450 mm</v>
      </c>
      <c r="E71" s="67">
        <v>1.4</v>
      </c>
      <c r="F71">
        <v>0.3</v>
      </c>
      <c r="G71">
        <v>0.25</v>
      </c>
    </row>
    <row r="72" spans="1:7">
      <c r="A72" s="1" t="s">
        <v>246</v>
      </c>
      <c r="B72" s="65" t="s">
        <v>20</v>
      </c>
      <c r="C72" s="83" t="s">
        <v>80</v>
      </c>
      <c r="D72" s="66" t="str">
        <f t="shared" si="0"/>
        <v>1921 až 1945-zdivo z děrovaných cihel a tvárnic tloušťky cca 300 mm</v>
      </c>
      <c r="E72" s="67">
        <v>1.3</v>
      </c>
      <c r="F72">
        <v>0.3</v>
      </c>
      <c r="G72">
        <v>0.25</v>
      </c>
    </row>
    <row r="73" spans="1:7">
      <c r="A73" s="1" t="s">
        <v>246</v>
      </c>
      <c r="B73" s="65" t="s">
        <v>20</v>
      </c>
      <c r="C73" s="83" t="s">
        <v>81</v>
      </c>
      <c r="D73" s="66" t="str">
        <f t="shared" si="0"/>
        <v>1921 až 1945-zdivo ze škvárobetonu tloušťky 250 mm až 300 mm</v>
      </c>
      <c r="E73" s="67">
        <v>1.2</v>
      </c>
      <c r="F73">
        <v>0.3</v>
      </c>
      <c r="G73">
        <v>0.25</v>
      </c>
    </row>
    <row r="74" spans="1:7">
      <c r="A74" s="1" t="s">
        <v>246</v>
      </c>
      <c r="B74" s="65" t="s">
        <v>21</v>
      </c>
      <c r="C74" s="83" t="s">
        <v>33</v>
      </c>
      <c r="D74" s="66" t="str">
        <f t="shared" si="0"/>
        <v>1946 až 1960-zdivo z cihel pálených plných tloušťky 450 mm</v>
      </c>
      <c r="E74" s="67">
        <v>1.4</v>
      </c>
      <c r="F74">
        <v>0.3</v>
      </c>
      <c r="G74">
        <v>0.25</v>
      </c>
    </row>
    <row r="75" spans="1:7">
      <c r="A75" s="1" t="s">
        <v>246</v>
      </c>
      <c r="B75" s="65" t="s">
        <v>21</v>
      </c>
      <c r="C75" s="83" t="s">
        <v>82</v>
      </c>
      <c r="D75" s="66" t="str">
        <f t="shared" si="0"/>
        <v>1946 až 1960-zdivo z děrovaných cihel a tvárnic</v>
      </c>
      <c r="E75" s="67">
        <v>1.3</v>
      </c>
      <c r="F75">
        <v>0.3</v>
      </c>
      <c r="G75">
        <v>0.25</v>
      </c>
    </row>
    <row r="76" spans="1:7">
      <c r="A76" s="1" t="s">
        <v>246</v>
      </c>
      <c r="B76" s="65" t="s">
        <v>21</v>
      </c>
      <c r="C76" s="83" t="s">
        <v>81</v>
      </c>
      <c r="D76" s="66" t="str">
        <f t="shared" si="0"/>
        <v>1946 až 1960-zdivo ze škvárobetonu tloušťky 250 mm až 300 mm</v>
      </c>
      <c r="E76" s="67">
        <v>1.2</v>
      </c>
      <c r="F76">
        <v>0.3</v>
      </c>
      <c r="G76">
        <v>0.25</v>
      </c>
    </row>
    <row r="77" spans="1:7">
      <c r="A77" s="1" t="s">
        <v>246</v>
      </c>
      <c r="B77" s="65" t="s">
        <v>21</v>
      </c>
      <c r="C77" s="83" t="s">
        <v>83</v>
      </c>
      <c r="D77" s="66" t="str">
        <f t="shared" si="0"/>
        <v>1946 až 1960-zdivo z lehkých betonů tloušťky cca 300 mm</v>
      </c>
      <c r="E77" s="67">
        <v>1.4</v>
      </c>
      <c r="F77">
        <v>0.3</v>
      </c>
      <c r="G77">
        <v>0.25</v>
      </c>
    </row>
    <row r="78" spans="1:7">
      <c r="A78" s="1" t="s">
        <v>246</v>
      </c>
      <c r="B78" s="65" t="s">
        <v>22</v>
      </c>
      <c r="C78" s="83" t="s">
        <v>80</v>
      </c>
      <c r="D78" s="66" t="str">
        <f t="shared" si="0"/>
        <v>1961 až 1980-zdivo z děrovaných cihel a tvárnic tloušťky cca 300 mm</v>
      </c>
      <c r="E78" s="67">
        <v>1.3</v>
      </c>
      <c r="F78">
        <v>0.3</v>
      </c>
      <c r="G78">
        <v>0.25</v>
      </c>
    </row>
    <row r="79" spans="1:7">
      <c r="A79" s="1" t="s">
        <v>246</v>
      </c>
      <c r="B79" s="65" t="s">
        <v>22</v>
      </c>
      <c r="C79" s="83" t="s">
        <v>81</v>
      </c>
      <c r="D79" s="66" t="str">
        <f t="shared" si="0"/>
        <v>1961 až 1980-zdivo ze škvárobetonu tloušťky 250 mm až 300 mm</v>
      </c>
      <c r="E79" s="67">
        <v>1.2</v>
      </c>
      <c r="F79">
        <v>0.3</v>
      </c>
      <c r="G79">
        <v>0.25</v>
      </c>
    </row>
    <row r="80" spans="1:7">
      <c r="A80" s="1" t="s">
        <v>246</v>
      </c>
      <c r="B80" s="65" t="s">
        <v>22</v>
      </c>
      <c r="C80" s="83" t="s">
        <v>83</v>
      </c>
      <c r="D80" s="66" t="str">
        <f t="shared" si="0"/>
        <v>1961 až 1980-zdivo z lehkých betonů tloušťky cca 300 mm</v>
      </c>
      <c r="E80" s="67">
        <v>1.4</v>
      </c>
      <c r="F80">
        <v>0.3</v>
      </c>
      <c r="G80">
        <v>0.25</v>
      </c>
    </row>
    <row r="81" spans="1:7">
      <c r="A81" s="1" t="s">
        <v>246</v>
      </c>
      <c r="B81" s="65" t="s">
        <v>22</v>
      </c>
      <c r="C81" s="83" t="s">
        <v>84</v>
      </c>
      <c r="D81" s="66" t="str">
        <f t="shared" si="0"/>
        <v>1961 až 1980-panel z lehkého betonu tloušťky 240 mm až 300 mm</v>
      </c>
      <c r="E81" s="67">
        <v>0.9</v>
      </c>
      <c r="F81">
        <v>0.3</v>
      </c>
      <c r="G81">
        <v>0.25</v>
      </c>
    </row>
    <row r="82" spans="1:7">
      <c r="A82" s="1" t="s">
        <v>246</v>
      </c>
      <c r="B82" s="65" t="s">
        <v>22</v>
      </c>
      <c r="C82" s="83" t="s">
        <v>85</v>
      </c>
      <c r="D82" s="66" t="str">
        <f t="shared" si="0"/>
        <v>1961 až 1980-zdivo z pórobetonu tloušťky cca 300 mm</v>
      </c>
      <c r="E82" s="67">
        <v>0.7</v>
      </c>
      <c r="F82">
        <v>0.3</v>
      </c>
      <c r="G82">
        <v>0.25</v>
      </c>
    </row>
    <row r="83" spans="1:7">
      <c r="A83" s="1" t="s">
        <v>246</v>
      </c>
      <c r="B83" s="65" t="s">
        <v>22</v>
      </c>
      <c r="C83" s="83" t="s">
        <v>86</v>
      </c>
      <c r="D83" s="66" t="str">
        <f t="shared" si="0"/>
        <v>1961 až 1980-keramický panel tloušťky 250 mm až 300 mm bez tep. izolace</v>
      </c>
      <c r="E83" s="67">
        <v>1.8</v>
      </c>
      <c r="F83">
        <v>0.3</v>
      </c>
      <c r="G83">
        <v>0.25</v>
      </c>
    </row>
    <row r="84" spans="1:7">
      <c r="A84" s="1" t="s">
        <v>246</v>
      </c>
      <c r="B84" s="65" t="s">
        <v>22</v>
      </c>
      <c r="C84" s="83" t="s">
        <v>87</v>
      </c>
      <c r="D84" s="66" t="str">
        <f t="shared" si="0"/>
        <v>1961 až 1980-kovoplastický panel (tzv. Boletický) tloušťky 120 mm</v>
      </c>
      <c r="E84" s="67">
        <v>1.1000000000000001</v>
      </c>
      <c r="F84">
        <v>0.3</v>
      </c>
      <c r="G84">
        <v>0.2</v>
      </c>
    </row>
    <row r="85" spans="1:7">
      <c r="A85" s="1" t="s">
        <v>246</v>
      </c>
      <c r="B85" s="65" t="s">
        <v>22</v>
      </c>
      <c r="C85" s="83" t="s">
        <v>88</v>
      </c>
      <c r="D85" s="66" t="str">
        <f t="shared" si="0"/>
        <v>1961 až 1980-železobetonový panel sendvičový tloušťky 190 až 240 mm</v>
      </c>
      <c r="E85" s="67">
        <v>1</v>
      </c>
      <c r="F85">
        <v>0.3</v>
      </c>
      <c r="G85">
        <v>0.25</v>
      </c>
    </row>
    <row r="86" spans="1:7">
      <c r="A86" s="1" t="s">
        <v>246</v>
      </c>
      <c r="B86" s="65" t="s">
        <v>23</v>
      </c>
      <c r="C86" s="83" t="s">
        <v>89</v>
      </c>
      <c r="D86" s="66" t="str">
        <f t="shared" si="0"/>
        <v>1981 až 1994-zdivo z pórobetonových tvárnic tloušťky 400 mm</v>
      </c>
      <c r="E86" s="67">
        <v>0.7</v>
      </c>
      <c r="F86">
        <v>0.3</v>
      </c>
      <c r="G86">
        <v>0.25</v>
      </c>
    </row>
    <row r="87" spans="1:7">
      <c r="A87" s="1" t="s">
        <v>246</v>
      </c>
      <c r="B87" s="65" t="s">
        <v>23</v>
      </c>
      <c r="C87" s="83" t="s">
        <v>90</v>
      </c>
      <c r="D87" s="66" t="str">
        <f t="shared" si="0"/>
        <v>1981 až 1994-panel z lehkého betonu tloušťky cca 350 mm</v>
      </c>
      <c r="E87" s="67">
        <v>0.9</v>
      </c>
      <c r="F87">
        <v>0.3</v>
      </c>
      <c r="G87">
        <v>0.25</v>
      </c>
    </row>
    <row r="88" spans="1:7">
      <c r="A88" s="1" t="s">
        <v>246</v>
      </c>
      <c r="B88" s="65" t="s">
        <v>23</v>
      </c>
      <c r="C88" s="83" t="s">
        <v>91</v>
      </c>
      <c r="D88" s="66" t="str">
        <f t="shared" si="0"/>
        <v>1981 až 1994-keramický panel tloušťky 300 mm s tepelnou izolací</v>
      </c>
      <c r="E88" s="67">
        <v>0.8</v>
      </c>
      <c r="F88">
        <v>0.3</v>
      </c>
      <c r="G88">
        <v>0.25</v>
      </c>
    </row>
    <row r="89" spans="1:7">
      <c r="A89" s="1" t="s">
        <v>246</v>
      </c>
      <c r="B89" s="65" t="s">
        <v>23</v>
      </c>
      <c r="C89" s="83" t="s">
        <v>92</v>
      </c>
      <c r="D89" s="66" t="str">
        <f t="shared" si="0"/>
        <v>1981 až 1994-železobetonový panel sendvičový tloušťky cca 300 mm</v>
      </c>
      <c r="E89" s="67">
        <v>0.6</v>
      </c>
      <c r="F89">
        <v>0.3</v>
      </c>
      <c r="G89">
        <v>0.25</v>
      </c>
    </row>
    <row r="90" spans="1:7">
      <c r="A90" s="1" t="s">
        <v>246</v>
      </c>
      <c r="B90" s="65" t="s">
        <v>24</v>
      </c>
      <c r="C90" s="83" t="s">
        <v>93</v>
      </c>
      <c r="D90" s="66" t="str">
        <f t="shared" si="0"/>
        <v>1995 a dále-stěna rekonstruovaný objekt (1995 - 2001)</v>
      </c>
      <c r="E90" s="67">
        <v>0.7</v>
      </c>
      <c r="F90">
        <v>0.3</v>
      </c>
      <c r="G90">
        <v>0.25</v>
      </c>
    </row>
    <row r="91" spans="1:7">
      <c r="A91" s="1" t="s">
        <v>246</v>
      </c>
      <c r="B91" s="65" t="s">
        <v>24</v>
      </c>
      <c r="C91" s="83" t="s">
        <v>94</v>
      </c>
      <c r="D91" s="66" t="str">
        <f t="shared" si="0"/>
        <v>1995 a dále-nová stěna (1995 - 2001)</v>
      </c>
      <c r="E91" s="67">
        <v>0.33</v>
      </c>
      <c r="F91">
        <v>0.3</v>
      </c>
      <c r="G91">
        <v>0.25</v>
      </c>
    </row>
    <row r="92" spans="1:7">
      <c r="A92" s="1" t="s">
        <v>246</v>
      </c>
      <c r="B92" s="65" t="s">
        <v>24</v>
      </c>
      <c r="C92" s="83" t="s">
        <v>95</v>
      </c>
      <c r="D92" s="66" t="str">
        <f t="shared" si="0"/>
        <v>1995 a dále-stěna lehká - nová od 2002</v>
      </c>
      <c r="E92" s="67">
        <v>0.3</v>
      </c>
      <c r="F92">
        <v>0.3</v>
      </c>
      <c r="G92">
        <v>0.2</v>
      </c>
    </row>
    <row r="93" spans="1:7">
      <c r="A93" s="1" t="s">
        <v>246</v>
      </c>
      <c r="B93" s="65" t="s">
        <v>24</v>
      </c>
      <c r="C93" s="83" t="s">
        <v>96</v>
      </c>
      <c r="D93" s="66" t="str">
        <f t="shared" si="0"/>
        <v>1995 a dále-stěna těžká - nová od 2002</v>
      </c>
      <c r="E93" s="67">
        <v>0.38</v>
      </c>
      <c r="F93">
        <v>0.3</v>
      </c>
      <c r="G93">
        <v>0.25</v>
      </c>
    </row>
    <row r="94" spans="1:7">
      <c r="A94" s="1" t="s">
        <v>246</v>
      </c>
      <c r="B94" s="65" t="s">
        <v>24</v>
      </c>
      <c r="C94" s="83" t="s">
        <v>96</v>
      </c>
      <c r="D94" s="66" t="str">
        <f>CONCATENATE(B94,"-",C94)</f>
        <v>1995 a dále-stěna těžká - nová od 2002</v>
      </c>
      <c r="E94" s="67">
        <v>0.38</v>
      </c>
      <c r="F94">
        <v>0.3</v>
      </c>
      <c r="G94">
        <v>0.25</v>
      </c>
    </row>
    <row r="95" spans="1:7">
      <c r="A95" s="1" t="s">
        <v>246</v>
      </c>
      <c r="B95" s="65" t="s">
        <v>24</v>
      </c>
      <c r="C95" s="83" t="s">
        <v>331</v>
      </c>
      <c r="D95" s="66" t="str">
        <f>CONCATENATE(B95,"-",C95)</f>
        <v>1995 a dále-stěna nová od 2011</v>
      </c>
      <c r="E95" s="67">
        <v>0.3</v>
      </c>
      <c r="F95">
        <v>0.3</v>
      </c>
      <c r="G95">
        <v>0.25</v>
      </c>
    </row>
    <row r="96" spans="1:7">
      <c r="A96" t="s">
        <v>54</v>
      </c>
      <c r="B96" s="79" t="s">
        <v>19</v>
      </c>
      <c r="C96" s="83" t="s">
        <v>292</v>
      </c>
      <c r="D96" s="66" t="str">
        <f t="shared" si="0"/>
        <v>&lt; 1920-plochá jednoplášťová střecha s vrstvou škvárobetonu</v>
      </c>
      <c r="E96" s="67">
        <v>2</v>
      </c>
      <c r="F96">
        <v>0.24</v>
      </c>
      <c r="G96">
        <v>0.16</v>
      </c>
    </row>
    <row r="97" spans="1:7">
      <c r="A97" t="s">
        <v>54</v>
      </c>
      <c r="B97" s="65" t="s">
        <v>20</v>
      </c>
      <c r="C97" s="83" t="s">
        <v>292</v>
      </c>
      <c r="D97" s="66" t="str">
        <f t="shared" si="0"/>
        <v>1921 až 1945-plochá jednoplášťová střecha s vrstvou škvárobetonu</v>
      </c>
      <c r="E97" s="67">
        <v>2</v>
      </c>
      <c r="F97">
        <v>0.24</v>
      </c>
      <c r="G97">
        <v>0.16</v>
      </c>
    </row>
    <row r="98" spans="1:7">
      <c r="A98" t="s">
        <v>54</v>
      </c>
      <c r="B98" s="65" t="s">
        <v>20</v>
      </c>
      <c r="C98" s="83" t="s">
        <v>293</v>
      </c>
      <c r="D98" s="66" t="str">
        <f t="shared" si="0"/>
        <v>1921 až 1945-plochá jednoplášťová střecha s tepelnou izolací z dutých cihel</v>
      </c>
      <c r="E98" s="67">
        <v>1.4</v>
      </c>
      <c r="F98">
        <v>0.24</v>
      </c>
      <c r="G98">
        <v>0.16</v>
      </c>
    </row>
    <row r="99" spans="1:7">
      <c r="A99" t="s">
        <v>54</v>
      </c>
      <c r="B99" s="65" t="s">
        <v>20</v>
      </c>
      <c r="C99" s="83" t="s">
        <v>294</v>
      </c>
      <c r="D99" s="66" t="str">
        <f t="shared" si="0"/>
        <v>1921 až 1945-plochá dvouplášťová střecha s násypem</v>
      </c>
      <c r="E99" s="67">
        <v>1.2</v>
      </c>
      <c r="F99">
        <v>0.24</v>
      </c>
      <c r="G99">
        <v>0.16</v>
      </c>
    </row>
    <row r="100" spans="1:7">
      <c r="A100" t="s">
        <v>54</v>
      </c>
      <c r="B100" s="65" t="s">
        <v>21</v>
      </c>
      <c r="C100" s="83" t="s">
        <v>295</v>
      </c>
      <c r="D100" s="66" t="str">
        <f t="shared" si="0"/>
        <v>1946 až 1960-plochá jednoplášťová střecha s pěnobetonem a heraklitem</v>
      </c>
      <c r="E100" s="67">
        <v>0.9</v>
      </c>
      <c r="F100">
        <v>0.24</v>
      </c>
      <c r="G100">
        <v>0.16</v>
      </c>
    </row>
    <row r="101" spans="1:7">
      <c r="A101" t="s">
        <v>54</v>
      </c>
      <c r="B101" s="80" t="s">
        <v>22</v>
      </c>
      <c r="C101" s="83" t="s">
        <v>296</v>
      </c>
      <c r="D101" s="66" t="str">
        <f t="shared" si="0"/>
        <v>1961 až 1980-plochá jednoplášťová střecha s tepelnou izolací z plynosilikátových desek nebo pěnoskla</v>
      </c>
      <c r="E101" s="67">
        <v>0.7</v>
      </c>
      <c r="F101">
        <v>0.24</v>
      </c>
      <c r="G101">
        <v>0.16</v>
      </c>
    </row>
    <row r="102" spans="1:7">
      <c r="A102" t="s">
        <v>54</v>
      </c>
      <c r="B102" s="80" t="s">
        <v>22</v>
      </c>
      <c r="C102" s="83" t="s">
        <v>297</v>
      </c>
      <c r="D102" s="66" t="str">
        <f t="shared" si="0"/>
        <v>1961 až 1980-plochá jednoplášťová střecha s tepelnou izolací z polystyrénu tl. 50 mm</v>
      </c>
      <c r="E102" s="67">
        <v>0.6</v>
      </c>
      <c r="F102">
        <v>0.24</v>
      </c>
      <c r="G102">
        <v>0.16</v>
      </c>
    </row>
    <row r="103" spans="1:7">
      <c r="A103" t="s">
        <v>54</v>
      </c>
      <c r="B103" s="80" t="s">
        <v>22</v>
      </c>
      <c r="C103" s="83" t="s">
        <v>298</v>
      </c>
      <c r="D103" s="66" t="str">
        <f t="shared" si="0"/>
        <v>1961 až 1980-plochá dvouplášťová střecha s tepelnou izolací s minerálních vláken tloušťky 60 až 80 mm</v>
      </c>
      <c r="E103" s="67">
        <v>0.7</v>
      </c>
      <c r="F103">
        <v>0.24</v>
      </c>
      <c r="G103">
        <v>0.16</v>
      </c>
    </row>
    <row r="104" spans="1:7">
      <c r="A104" t="s">
        <v>54</v>
      </c>
      <c r="B104" s="65" t="s">
        <v>23</v>
      </c>
      <c r="C104" s="83" t="s">
        <v>299</v>
      </c>
      <c r="D104" s="66" t="str">
        <f t="shared" si="0"/>
        <v>1981 až 1994-plochá jednoplášťová střecha s tepelnou izolací z polystyrénu tl. 100 mm</v>
      </c>
      <c r="E104" s="67">
        <v>0.4</v>
      </c>
      <c r="F104">
        <v>0.24</v>
      </c>
      <c r="G104">
        <v>0.16</v>
      </c>
    </row>
    <row r="105" spans="1:7">
      <c r="A105" t="s">
        <v>54</v>
      </c>
      <c r="B105" s="65" t="s">
        <v>23</v>
      </c>
      <c r="C105" s="83" t="s">
        <v>300</v>
      </c>
      <c r="D105" s="66" t="str">
        <f t="shared" si="0"/>
        <v>1981 až 1994-plochá dvouplášťová střecha s tepelnou izolací s minerálních vláken tloušťky 120 mm</v>
      </c>
      <c r="E105" s="67">
        <v>0.4</v>
      </c>
      <c r="F105">
        <v>0.24</v>
      </c>
      <c r="G105">
        <v>0.16</v>
      </c>
    </row>
    <row r="106" spans="1:7">
      <c r="A106" t="s">
        <v>54</v>
      </c>
      <c r="B106" s="65" t="s">
        <v>24</v>
      </c>
      <c r="C106" s="83" t="s">
        <v>302</v>
      </c>
      <c r="D106" s="66" t="str">
        <f t="shared" si="0"/>
        <v>1995 a dále-plochá střecha 1995-2002</v>
      </c>
      <c r="E106" s="81">
        <f>1/3</f>
        <v>0.33333333333333331</v>
      </c>
      <c r="F106">
        <v>0.24</v>
      </c>
      <c r="G106">
        <v>0.16</v>
      </c>
    </row>
    <row r="107" spans="1:7">
      <c r="A107" t="s">
        <v>54</v>
      </c>
      <c r="B107" s="65" t="s">
        <v>24</v>
      </c>
      <c r="C107" s="83" t="s">
        <v>328</v>
      </c>
      <c r="D107" s="66" t="str">
        <f t="shared" ref="D107:D117" si="1">CONCATENATE(B107,"-",C107)</f>
        <v>1995 a dále-plochá střecha těžká po roce 2002</v>
      </c>
      <c r="E107" s="81">
        <v>0.3</v>
      </c>
      <c r="F107">
        <v>0.24</v>
      </c>
      <c r="G107">
        <v>0.16</v>
      </c>
    </row>
    <row r="108" spans="1:7">
      <c r="A108" t="s">
        <v>54</v>
      </c>
      <c r="B108" s="65" t="s">
        <v>24</v>
      </c>
      <c r="C108" s="83" t="s">
        <v>329</v>
      </c>
      <c r="D108" s="66" t="str">
        <f t="shared" si="1"/>
        <v>1995 a dále-plochá střecha lehká po roce 2002</v>
      </c>
      <c r="E108" s="81">
        <v>0.24</v>
      </c>
      <c r="F108">
        <v>0.24</v>
      </c>
      <c r="G108">
        <v>0.16</v>
      </c>
    </row>
    <row r="109" spans="1:7">
      <c r="A109" t="s">
        <v>54</v>
      </c>
      <c r="B109" s="65" t="s">
        <v>24</v>
      </c>
      <c r="C109" s="83" t="s">
        <v>301</v>
      </c>
      <c r="D109" s="66" t="str">
        <f t="shared" si="1"/>
        <v>1995 a dále-plochá střecha po roce 2002</v>
      </c>
      <c r="E109" s="81">
        <v>0.24</v>
      </c>
      <c r="F109">
        <v>0.24</v>
      </c>
      <c r="G109">
        <v>0.16</v>
      </c>
    </row>
    <row r="110" spans="1:7">
      <c r="A110" t="s">
        <v>54</v>
      </c>
      <c r="B110" s="65" t="s">
        <v>24</v>
      </c>
      <c r="C110" s="83" t="s">
        <v>330</v>
      </c>
      <c r="D110" s="66" t="str">
        <f t="shared" si="1"/>
        <v>1995 a dále-plochá střecha po roce 2007</v>
      </c>
      <c r="E110" s="81">
        <v>0.24</v>
      </c>
      <c r="F110">
        <v>0.24</v>
      </c>
      <c r="G110">
        <v>0.16</v>
      </c>
    </row>
    <row r="111" spans="1:7">
      <c r="A111" t="s">
        <v>304</v>
      </c>
      <c r="B111" s="82" t="s">
        <v>19</v>
      </c>
      <c r="C111" s="83" t="s">
        <v>303</v>
      </c>
      <c r="D111" s="84" t="str">
        <f t="shared" si="1"/>
        <v>&lt; 1920-šikmá střecha nezateplená</v>
      </c>
      <c r="E111" s="86">
        <v>4</v>
      </c>
      <c r="F111">
        <v>0.24</v>
      </c>
      <c r="G111">
        <v>0.16</v>
      </c>
    </row>
    <row r="112" spans="1:7">
      <c r="A112" t="s">
        <v>304</v>
      </c>
      <c r="B112" s="82" t="s">
        <v>20</v>
      </c>
      <c r="C112" s="83" t="s">
        <v>303</v>
      </c>
      <c r="D112" s="84" t="str">
        <f t="shared" si="1"/>
        <v>1921 až 1945-šikmá střecha nezateplená</v>
      </c>
      <c r="E112" s="86">
        <v>4</v>
      </c>
      <c r="F112">
        <v>0.24</v>
      </c>
      <c r="G112">
        <v>0.16</v>
      </c>
    </row>
    <row r="113" spans="1:7">
      <c r="A113" t="s">
        <v>304</v>
      </c>
      <c r="B113" s="82" t="s">
        <v>21</v>
      </c>
      <c r="C113" s="83" t="s">
        <v>303</v>
      </c>
      <c r="D113" s="84" t="str">
        <f t="shared" si="1"/>
        <v>1946 až 1960-šikmá střecha nezateplená</v>
      </c>
      <c r="E113" s="86">
        <v>4</v>
      </c>
      <c r="F113">
        <v>0.24</v>
      </c>
      <c r="G113">
        <v>0.16</v>
      </c>
    </row>
    <row r="114" spans="1:7">
      <c r="A114" t="s">
        <v>304</v>
      </c>
      <c r="B114" s="85" t="s">
        <v>22</v>
      </c>
      <c r="C114" s="83" t="s">
        <v>459</v>
      </c>
      <c r="D114" s="84" t="str">
        <f t="shared" si="1"/>
        <v>1961 až 1980-šikmá střecha zateplená</v>
      </c>
      <c r="E114" s="87">
        <f>1/(0.05/0.065+0.1*2)</f>
        <v>1.0317460317460316</v>
      </c>
      <c r="F114">
        <v>0.24</v>
      </c>
      <c r="G114">
        <v>0.16</v>
      </c>
    </row>
    <row r="115" spans="1:7">
      <c r="A115" t="s">
        <v>304</v>
      </c>
      <c r="B115" s="82" t="s">
        <v>23</v>
      </c>
      <c r="C115" s="83" t="s">
        <v>459</v>
      </c>
      <c r="D115" s="84" t="str">
        <f t="shared" si="1"/>
        <v>1981 až 1994-šikmá střecha zateplená</v>
      </c>
      <c r="E115" s="87">
        <f>1/(0.08/0.065+0.1*2)</f>
        <v>0.69892473118279563</v>
      </c>
      <c r="F115">
        <v>0.24</v>
      </c>
      <c r="G115">
        <v>0.16</v>
      </c>
    </row>
    <row r="116" spans="1:7">
      <c r="A116" t="s">
        <v>304</v>
      </c>
      <c r="B116" s="82" t="s">
        <v>24</v>
      </c>
      <c r="C116" s="83" t="s">
        <v>460</v>
      </c>
      <c r="D116" s="84" t="str">
        <f t="shared" si="1"/>
        <v>1995 a dále-šikmá střecha realizace 1995-2002</v>
      </c>
      <c r="E116" s="88">
        <f>1/3</f>
        <v>0.33333333333333331</v>
      </c>
      <c r="F116">
        <v>0.24</v>
      </c>
      <c r="G116">
        <v>0.16</v>
      </c>
    </row>
    <row r="117" spans="1:7">
      <c r="A117" t="s">
        <v>304</v>
      </c>
      <c r="B117" s="82" t="s">
        <v>24</v>
      </c>
      <c r="C117" s="83" t="s">
        <v>451</v>
      </c>
      <c r="D117" s="84" t="str">
        <f t="shared" si="1"/>
        <v>1995 a dále-šikmá střecha po roce 2002</v>
      </c>
      <c r="E117" s="88">
        <v>0.24</v>
      </c>
      <c r="F117">
        <v>0.24</v>
      </c>
      <c r="G117">
        <v>0.16</v>
      </c>
    </row>
    <row r="118" spans="1:7">
      <c r="A118" t="s">
        <v>260</v>
      </c>
      <c r="B118" s="89" t="s">
        <v>19</v>
      </c>
      <c r="C118" s="83" t="s">
        <v>305</v>
      </c>
      <c r="D118" s="84" t="str">
        <f t="shared" ref="D118:D126" si="2">CONCATENATE(B118,"-",C118)</f>
        <v>&lt; 1920-stropy dřevěné trámové pod půdou s násypem škváry</v>
      </c>
      <c r="E118" s="86">
        <v>1.6</v>
      </c>
      <c r="F118">
        <v>0.3</v>
      </c>
      <c r="G118">
        <v>0.2</v>
      </c>
    </row>
    <row r="119" spans="1:7">
      <c r="A119" t="s">
        <v>260</v>
      </c>
      <c r="B119" s="89" t="s">
        <v>19</v>
      </c>
      <c r="C119" s="83" t="s">
        <v>306</v>
      </c>
      <c r="D119" s="84" t="str">
        <f t="shared" si="2"/>
        <v>&lt; 1920-stropy keramické do ocelových nosníků pod půdou s násypem škváry</v>
      </c>
      <c r="E119" s="86">
        <v>1</v>
      </c>
      <c r="F119">
        <v>0.3</v>
      </c>
      <c r="G119">
        <v>0.2</v>
      </c>
    </row>
    <row r="120" spans="1:7">
      <c r="A120" t="s">
        <v>260</v>
      </c>
      <c r="B120" s="82" t="s">
        <v>20</v>
      </c>
      <c r="C120" s="83" t="s">
        <v>305</v>
      </c>
      <c r="D120" s="84" t="str">
        <f t="shared" si="2"/>
        <v>1921 až 1945-stropy dřevěné trámové pod půdou s násypem škváry</v>
      </c>
      <c r="E120" s="86">
        <v>1.6</v>
      </c>
      <c r="F120">
        <v>0.3</v>
      </c>
      <c r="G120">
        <v>0.2</v>
      </c>
    </row>
    <row r="121" spans="1:7">
      <c r="A121" t="s">
        <v>260</v>
      </c>
      <c r="B121" s="82" t="s">
        <v>20</v>
      </c>
      <c r="C121" s="83" t="s">
        <v>306</v>
      </c>
      <c r="D121" s="84" t="str">
        <f t="shared" si="2"/>
        <v>1921 až 1945-stropy keramické do ocelových nosníků pod půdou s násypem škváry</v>
      </c>
      <c r="E121" s="86">
        <v>2.2000000000000002</v>
      </c>
      <c r="F121">
        <v>0.3</v>
      </c>
      <c r="G121">
        <v>0.2</v>
      </c>
    </row>
    <row r="122" spans="1:7">
      <c r="A122" t="s">
        <v>260</v>
      </c>
      <c r="B122" s="82" t="s">
        <v>20</v>
      </c>
      <c r="C122" s="83" t="s">
        <v>307</v>
      </c>
      <c r="D122" s="84" t="str">
        <f t="shared" si="2"/>
        <v>1921 až 1945-stropy železobetonové pod půdou s násypem a potěrem</v>
      </c>
      <c r="E122" s="86">
        <v>1</v>
      </c>
      <c r="F122">
        <v>0.3</v>
      </c>
      <c r="G122">
        <v>0.2</v>
      </c>
    </row>
    <row r="123" spans="1:7">
      <c r="A123" t="s">
        <v>260</v>
      </c>
      <c r="B123" s="82" t="s">
        <v>21</v>
      </c>
      <c r="C123" s="83" t="s">
        <v>305</v>
      </c>
      <c r="D123" s="84" t="str">
        <f t="shared" si="2"/>
        <v>1946 až 1960-stropy dřevěné trámové pod půdou s násypem škváry</v>
      </c>
      <c r="E123" s="86">
        <v>1.6</v>
      </c>
      <c r="F123">
        <v>0.3</v>
      </c>
      <c r="G123">
        <v>0.2</v>
      </c>
    </row>
    <row r="124" spans="1:7">
      <c r="A124" t="s">
        <v>260</v>
      </c>
      <c r="B124" s="82" t="s">
        <v>21</v>
      </c>
      <c r="C124" s="83" t="s">
        <v>306</v>
      </c>
      <c r="D124" s="84" t="str">
        <f t="shared" si="2"/>
        <v>1946 až 1960-stropy keramické do ocelových nosníků pod půdou s násypem škváry</v>
      </c>
      <c r="E124" s="86">
        <v>2.2000000000000002</v>
      </c>
      <c r="F124">
        <v>0.3</v>
      </c>
      <c r="G124">
        <v>0.2</v>
      </c>
    </row>
    <row r="125" spans="1:7">
      <c r="A125" t="s">
        <v>260</v>
      </c>
      <c r="B125" s="82" t="s">
        <v>21</v>
      </c>
      <c r="C125" s="83" t="s">
        <v>307</v>
      </c>
      <c r="D125" s="84" t="str">
        <f t="shared" si="2"/>
        <v>1946 až 1960-stropy železobetonové pod půdou s násypem a potěrem</v>
      </c>
      <c r="E125" s="86">
        <v>2.6</v>
      </c>
      <c r="F125">
        <v>0.3</v>
      </c>
      <c r="G125">
        <v>0.2</v>
      </c>
    </row>
    <row r="126" spans="1:7">
      <c r="A126" t="s">
        <v>260</v>
      </c>
      <c r="B126" s="82" t="s">
        <v>21</v>
      </c>
      <c r="C126" s="83" t="s">
        <v>308</v>
      </c>
      <c r="D126" s="84" t="str">
        <f t="shared" si="2"/>
        <v>1946 až 1960-stropy železobetonové pod půdou s vrstvou lehkého betonu</v>
      </c>
      <c r="E126" s="86">
        <v>1</v>
      </c>
      <c r="F126">
        <v>0.3</v>
      </c>
      <c r="G126">
        <v>0.2</v>
      </c>
    </row>
    <row r="127" spans="1:7">
      <c r="A127" t="s">
        <v>260</v>
      </c>
      <c r="B127" s="82" t="s">
        <v>22</v>
      </c>
      <c r="C127" s="83" t="s">
        <v>305</v>
      </c>
      <c r="D127" s="84" t="str">
        <f t="shared" ref="D127:D200" si="3">CONCATENATE(B127,"-",C127)</f>
        <v>1961 až 1980-stropy dřevěné trámové pod půdou s násypem škváry</v>
      </c>
      <c r="E127" s="86">
        <v>1.6</v>
      </c>
      <c r="F127">
        <v>0.3</v>
      </c>
      <c r="G127">
        <v>0.2</v>
      </c>
    </row>
    <row r="128" spans="1:7">
      <c r="A128" t="s">
        <v>260</v>
      </c>
      <c r="B128" s="82" t="s">
        <v>22</v>
      </c>
      <c r="C128" s="83" t="s">
        <v>306</v>
      </c>
      <c r="D128" s="84" t="str">
        <f t="shared" si="3"/>
        <v>1961 až 1980-stropy keramické do ocelových nosníků pod půdou s násypem škváry</v>
      </c>
      <c r="E128" s="86">
        <v>2.2000000000000002</v>
      </c>
      <c r="F128">
        <v>0.3</v>
      </c>
      <c r="G128">
        <v>0.2</v>
      </c>
    </row>
    <row r="129" spans="1:7">
      <c r="A129" t="s">
        <v>260</v>
      </c>
      <c r="B129" s="82" t="s">
        <v>22</v>
      </c>
      <c r="C129" s="83" t="s">
        <v>307</v>
      </c>
      <c r="D129" s="84" t="str">
        <f t="shared" si="3"/>
        <v>1961 až 1980-stropy železobetonové pod půdou s násypem a potěrem</v>
      </c>
      <c r="E129" s="86">
        <v>2.6</v>
      </c>
      <c r="F129">
        <v>0.3</v>
      </c>
      <c r="G129">
        <v>0.2</v>
      </c>
    </row>
    <row r="130" spans="1:7">
      <c r="A130" t="s">
        <v>260</v>
      </c>
      <c r="B130" s="82" t="s">
        <v>22</v>
      </c>
      <c r="C130" s="83" t="s">
        <v>308</v>
      </c>
      <c r="D130" s="84" t="str">
        <f t="shared" si="3"/>
        <v>1961 až 1980-stropy železobetonové pod půdou s vrstvou lehkého betonu</v>
      </c>
      <c r="E130" s="86">
        <v>2.6</v>
      </c>
      <c r="F130">
        <v>0.3</v>
      </c>
      <c r="G130">
        <v>0.2</v>
      </c>
    </row>
    <row r="131" spans="1:7">
      <c r="A131" t="s">
        <v>260</v>
      </c>
      <c r="B131" s="82" t="s">
        <v>22</v>
      </c>
      <c r="C131" s="83" t="s">
        <v>309</v>
      </c>
      <c r="D131" s="84" t="str">
        <f t="shared" si="3"/>
        <v>1961 až 1980-stropy železobetonové panelové pod půdou s potěrem</v>
      </c>
      <c r="E131" s="86">
        <v>2</v>
      </c>
      <c r="F131">
        <v>0.3</v>
      </c>
      <c r="G131">
        <v>0.2</v>
      </c>
    </row>
    <row r="132" spans="1:7">
      <c r="A132" t="s">
        <v>260</v>
      </c>
      <c r="B132" s="82" t="s">
        <v>22</v>
      </c>
      <c r="C132" s="83" t="s">
        <v>310</v>
      </c>
      <c r="D132" s="84" t="str">
        <f t="shared" si="3"/>
        <v>1961 až 1980-stropy keramické z panelů a vložek pod půdou s potěrem</v>
      </c>
      <c r="E132" s="86">
        <v>1</v>
      </c>
      <c r="F132">
        <v>0.3</v>
      </c>
      <c r="G132">
        <v>0.2</v>
      </c>
    </row>
    <row r="133" spans="1:7">
      <c r="A133" t="s">
        <v>260</v>
      </c>
      <c r="B133" s="82" t="s">
        <v>23</v>
      </c>
      <c r="C133" s="83" t="s">
        <v>305</v>
      </c>
      <c r="D133" s="84" t="str">
        <f t="shared" si="3"/>
        <v>1981 až 1994-stropy dřevěné trámové pod půdou s násypem škváry</v>
      </c>
      <c r="E133" s="86">
        <v>1.6</v>
      </c>
      <c r="F133">
        <v>0.3</v>
      </c>
      <c r="G133">
        <v>0.2</v>
      </c>
    </row>
    <row r="134" spans="1:7">
      <c r="A134" t="s">
        <v>260</v>
      </c>
      <c r="B134" s="82" t="s">
        <v>23</v>
      </c>
      <c r="C134" s="83" t="s">
        <v>306</v>
      </c>
      <c r="D134" s="84" t="str">
        <f t="shared" si="3"/>
        <v>1981 až 1994-stropy keramické do ocelových nosníků pod půdou s násypem škváry</v>
      </c>
      <c r="E134" s="86">
        <v>2.2000000000000002</v>
      </c>
      <c r="F134">
        <v>0.3</v>
      </c>
      <c r="G134">
        <v>0.2</v>
      </c>
    </row>
    <row r="135" spans="1:7">
      <c r="A135" t="s">
        <v>260</v>
      </c>
      <c r="B135" s="82" t="s">
        <v>23</v>
      </c>
      <c r="C135" s="83" t="s">
        <v>307</v>
      </c>
      <c r="D135" s="84" t="str">
        <f t="shared" si="3"/>
        <v>1981 až 1994-stropy železobetonové pod půdou s násypem a potěrem</v>
      </c>
      <c r="E135" s="86">
        <v>2.6</v>
      </c>
      <c r="F135">
        <v>0.3</v>
      </c>
      <c r="G135">
        <v>0.2</v>
      </c>
    </row>
    <row r="136" spans="1:7">
      <c r="A136" t="s">
        <v>260</v>
      </c>
      <c r="B136" s="82" t="s">
        <v>23</v>
      </c>
      <c r="C136" s="83" t="s">
        <v>308</v>
      </c>
      <c r="D136" s="84" t="str">
        <f t="shared" si="3"/>
        <v>1981 až 1994-stropy železobetonové pod půdou s vrstvou lehkého betonu</v>
      </c>
      <c r="E136" s="86">
        <v>2.6</v>
      </c>
      <c r="F136">
        <v>0.3</v>
      </c>
      <c r="G136">
        <v>0.2</v>
      </c>
    </row>
    <row r="137" spans="1:7">
      <c r="A137" t="s">
        <v>260</v>
      </c>
      <c r="B137" s="82" t="s">
        <v>23</v>
      </c>
      <c r="C137" s="83" t="s">
        <v>309</v>
      </c>
      <c r="D137" s="84" t="str">
        <f t="shared" si="3"/>
        <v>1981 až 1994-stropy železobetonové panelové pod půdou s potěrem</v>
      </c>
      <c r="E137" s="86">
        <v>2</v>
      </c>
      <c r="F137">
        <v>0.3</v>
      </c>
      <c r="G137">
        <v>0.2</v>
      </c>
    </row>
    <row r="138" spans="1:7">
      <c r="A138" t="s">
        <v>260</v>
      </c>
      <c r="B138" s="82" t="s">
        <v>23</v>
      </c>
      <c r="C138" s="83" t="s">
        <v>310</v>
      </c>
      <c r="D138" s="84" t="str">
        <f t="shared" si="3"/>
        <v>1981 až 1994-stropy keramické z panelů a vložek pod půdou s potěrem</v>
      </c>
      <c r="E138" s="86">
        <v>0.48</v>
      </c>
      <c r="F138">
        <v>0.3</v>
      </c>
      <c r="G138">
        <v>0.2</v>
      </c>
    </row>
    <row r="139" spans="1:7">
      <c r="A139" t="s">
        <v>260</v>
      </c>
      <c r="B139" s="82" t="s">
        <v>24</v>
      </c>
      <c r="C139" s="83" t="s">
        <v>311</v>
      </c>
      <c r="D139" s="84" t="str">
        <f t="shared" si="3"/>
        <v>1995 a dále-strop pod půdou - 1995-2002 - přípustná</v>
      </c>
      <c r="E139" s="86">
        <v>0.31</v>
      </c>
      <c r="F139">
        <v>0.3</v>
      </c>
      <c r="G139">
        <v>0.2</v>
      </c>
    </row>
    <row r="140" spans="1:7">
      <c r="A140" t="s">
        <v>260</v>
      </c>
      <c r="B140" s="82" t="s">
        <v>24</v>
      </c>
      <c r="C140" s="83" t="s">
        <v>313</v>
      </c>
      <c r="D140" s="84" t="str">
        <f t="shared" si="3"/>
        <v>1995 a dále-strop pod půdou - 1995-2002 - požadovaná</v>
      </c>
      <c r="E140" s="86">
        <v>0.22</v>
      </c>
      <c r="F140">
        <v>0.3</v>
      </c>
      <c r="G140">
        <v>0.2</v>
      </c>
    </row>
    <row r="141" spans="1:7">
      <c r="A141" t="s">
        <v>260</v>
      </c>
      <c r="B141" s="82" t="s">
        <v>24</v>
      </c>
      <c r="C141" s="83" t="s">
        <v>312</v>
      </c>
      <c r="D141" s="84" t="str">
        <f t="shared" si="3"/>
        <v>1995 a dále-strop pod půdou - po roce 2002</v>
      </c>
      <c r="E141" s="86">
        <v>0.3</v>
      </c>
      <c r="F141">
        <v>0.3</v>
      </c>
      <c r="G141">
        <v>0.2</v>
      </c>
    </row>
    <row r="142" spans="1:7">
      <c r="A142" t="s">
        <v>383</v>
      </c>
      <c r="B142" s="90" t="s">
        <v>19</v>
      </c>
      <c r="C142" s="91" t="s">
        <v>314</v>
      </c>
      <c r="D142" s="92" t="str">
        <f t="shared" si="3"/>
        <v>&lt; 1920-stropy dřevěné trámové nad suterénem s dřev. podlahou</v>
      </c>
      <c r="E142" s="93">
        <v>0.9</v>
      </c>
      <c r="F142">
        <v>0.6</v>
      </c>
      <c r="G142">
        <v>0.4</v>
      </c>
    </row>
    <row r="143" spans="1:7">
      <c r="A143" t="s">
        <v>383</v>
      </c>
      <c r="B143" s="94" t="s">
        <v>19</v>
      </c>
      <c r="C143" s="91" t="s">
        <v>315</v>
      </c>
      <c r="D143" s="92" t="str">
        <f t="shared" si="3"/>
        <v>&lt; 1920-stropy keramické do ocelových nosníků nad suterénem s dřev. podlahou</v>
      </c>
      <c r="E143" s="93">
        <v>1.2</v>
      </c>
      <c r="F143">
        <v>0.6</v>
      </c>
      <c r="G143">
        <v>0.4</v>
      </c>
    </row>
    <row r="144" spans="1:7">
      <c r="A144" t="s">
        <v>383</v>
      </c>
      <c r="B144" s="95" t="s">
        <v>20</v>
      </c>
      <c r="C144" s="91" t="s">
        <v>314</v>
      </c>
      <c r="D144" s="92" t="str">
        <f t="shared" si="3"/>
        <v>1921 až 1945-stropy dřevěné trámové nad suterénem s dřev. podlahou</v>
      </c>
      <c r="E144" s="93">
        <v>0.9</v>
      </c>
      <c r="F144">
        <v>0.6</v>
      </c>
      <c r="G144">
        <v>0.4</v>
      </c>
    </row>
    <row r="145" spans="1:7">
      <c r="A145" t="s">
        <v>383</v>
      </c>
      <c r="B145" s="95" t="s">
        <v>20</v>
      </c>
      <c r="C145" s="91" t="s">
        <v>315</v>
      </c>
      <c r="D145" s="92" t="str">
        <f t="shared" si="3"/>
        <v>1921 až 1945-stropy keramické do ocelových nosníků nad suterénem s dřev. podlahou</v>
      </c>
      <c r="E145" s="93">
        <v>1.2</v>
      </c>
      <c r="F145">
        <v>0.6</v>
      </c>
      <c r="G145">
        <v>0.4</v>
      </c>
    </row>
    <row r="146" spans="1:7">
      <c r="A146" t="s">
        <v>383</v>
      </c>
      <c r="B146" s="95" t="s">
        <v>20</v>
      </c>
      <c r="C146" s="91" t="s">
        <v>316</v>
      </c>
      <c r="D146" s="92" t="str">
        <f t="shared" si="3"/>
        <v>1921 až 1945-stropy železobetonové nad suterénem s dřev. podlahou</v>
      </c>
      <c r="E146" s="93">
        <v>1.6</v>
      </c>
      <c r="F146">
        <v>0.6</v>
      </c>
      <c r="G146">
        <v>0.4</v>
      </c>
    </row>
    <row r="147" spans="1:7">
      <c r="A147" t="s">
        <v>383</v>
      </c>
      <c r="B147" s="95" t="s">
        <v>21</v>
      </c>
      <c r="C147" s="91" t="s">
        <v>314</v>
      </c>
      <c r="D147" s="92" t="str">
        <f t="shared" si="3"/>
        <v>1946 až 1960-stropy dřevěné trámové nad suterénem s dřev. podlahou</v>
      </c>
      <c r="E147" s="93">
        <v>0.9</v>
      </c>
      <c r="F147">
        <v>0.6</v>
      </c>
      <c r="G147">
        <v>0.4</v>
      </c>
    </row>
    <row r="148" spans="1:7">
      <c r="A148" t="s">
        <v>383</v>
      </c>
      <c r="B148" s="95" t="s">
        <v>21</v>
      </c>
      <c r="C148" s="91" t="s">
        <v>315</v>
      </c>
      <c r="D148" s="92" t="str">
        <f t="shared" si="3"/>
        <v>1946 až 1960-stropy keramické do ocelových nosníků nad suterénem s dřev. podlahou</v>
      </c>
      <c r="E148" s="93">
        <v>1.2</v>
      </c>
      <c r="F148">
        <v>0.6</v>
      </c>
      <c r="G148">
        <v>0.4</v>
      </c>
    </row>
    <row r="149" spans="1:7">
      <c r="A149" t="s">
        <v>383</v>
      </c>
      <c r="B149" s="95" t="s">
        <v>21</v>
      </c>
      <c r="C149" s="91" t="s">
        <v>316</v>
      </c>
      <c r="D149" s="92" t="str">
        <f t="shared" si="3"/>
        <v>1946 až 1960-stropy železobetonové nad suterénem s dřev. podlahou</v>
      </c>
      <c r="E149" s="93">
        <v>1.6</v>
      </c>
      <c r="F149">
        <v>0.6</v>
      </c>
      <c r="G149">
        <v>0.4</v>
      </c>
    </row>
    <row r="150" spans="1:7">
      <c r="A150" t="s">
        <v>383</v>
      </c>
      <c r="B150" s="95" t="s">
        <v>21</v>
      </c>
      <c r="C150" s="91" t="s">
        <v>317</v>
      </c>
      <c r="D150" s="92" t="str">
        <f t="shared" si="3"/>
        <v>1946 až 1960-stropy železobetonové nad suterénem s podlahou s PVC</v>
      </c>
      <c r="E150" s="93">
        <v>1.6</v>
      </c>
      <c r="F150">
        <v>0.6</v>
      </c>
      <c r="G150">
        <v>0.4</v>
      </c>
    </row>
    <row r="151" spans="1:7">
      <c r="A151" t="s">
        <v>383</v>
      </c>
      <c r="B151" s="95" t="s">
        <v>21</v>
      </c>
      <c r="C151" s="91" t="s">
        <v>318</v>
      </c>
      <c r="D151" s="92" t="str">
        <f t="shared" si="3"/>
        <v>1946 až 1960-stropy železobetonové panelové nad suterénem s podlahou s PVC</v>
      </c>
      <c r="E151" s="93">
        <v>1.4</v>
      </c>
      <c r="F151">
        <v>0.6</v>
      </c>
      <c r="G151">
        <v>0.4</v>
      </c>
    </row>
    <row r="152" spans="1:7">
      <c r="A152" t="s">
        <v>383</v>
      </c>
      <c r="B152" s="95" t="s">
        <v>21</v>
      </c>
      <c r="C152" s="91" t="s">
        <v>319</v>
      </c>
      <c r="D152" s="92" t="str">
        <f t="shared" si="3"/>
        <v>1946 až 1960-stropy keramické z panelů a vložek nad suterénem s podlahou s PVC</v>
      </c>
      <c r="E152" s="93">
        <v>0.9</v>
      </c>
      <c r="F152">
        <v>0.6</v>
      </c>
      <c r="G152">
        <v>0.4</v>
      </c>
    </row>
    <row r="153" spans="1:7">
      <c r="A153" t="s">
        <v>383</v>
      </c>
      <c r="B153" s="96" t="s">
        <v>22</v>
      </c>
      <c r="C153" s="91" t="s">
        <v>315</v>
      </c>
      <c r="D153" s="92" t="str">
        <f t="shared" si="3"/>
        <v>1961 až 1980-stropy keramické do ocelových nosníků nad suterénem s dřev. podlahou</v>
      </c>
      <c r="E153" s="93">
        <v>1.2</v>
      </c>
      <c r="F153">
        <v>0.6</v>
      </c>
      <c r="G153">
        <v>0.4</v>
      </c>
    </row>
    <row r="154" spans="1:7">
      <c r="A154" t="s">
        <v>383</v>
      </c>
      <c r="B154" s="96" t="s">
        <v>22</v>
      </c>
      <c r="C154" s="91" t="s">
        <v>316</v>
      </c>
      <c r="D154" s="92" t="str">
        <f t="shared" si="3"/>
        <v>1961 až 1980-stropy železobetonové nad suterénem s dřev. podlahou</v>
      </c>
      <c r="E154" s="93">
        <v>1.6</v>
      </c>
      <c r="F154">
        <v>0.6</v>
      </c>
      <c r="G154">
        <v>0.4</v>
      </c>
    </row>
    <row r="155" spans="1:7">
      <c r="A155" t="s">
        <v>383</v>
      </c>
      <c r="B155" s="96" t="s">
        <v>22</v>
      </c>
      <c r="C155" s="91" t="s">
        <v>317</v>
      </c>
      <c r="D155" s="92" t="str">
        <f t="shared" si="3"/>
        <v>1961 až 1980-stropy železobetonové nad suterénem s podlahou s PVC</v>
      </c>
      <c r="E155" s="93">
        <v>1.6</v>
      </c>
      <c r="F155">
        <v>0.6</v>
      </c>
      <c r="G155">
        <v>0.4</v>
      </c>
    </row>
    <row r="156" spans="1:7">
      <c r="A156" t="s">
        <v>383</v>
      </c>
      <c r="B156" s="96" t="s">
        <v>22</v>
      </c>
      <c r="C156" s="91" t="s">
        <v>318</v>
      </c>
      <c r="D156" s="92" t="str">
        <f t="shared" si="3"/>
        <v>1961 až 1980-stropy železobetonové panelové nad suterénem s podlahou s PVC</v>
      </c>
      <c r="E156" s="93">
        <v>1.4</v>
      </c>
      <c r="F156">
        <v>0.6</v>
      </c>
      <c r="G156">
        <v>0.4</v>
      </c>
    </row>
    <row r="157" spans="1:7">
      <c r="A157" t="s">
        <v>383</v>
      </c>
      <c r="B157" s="96" t="s">
        <v>22</v>
      </c>
      <c r="C157" s="91" t="s">
        <v>319</v>
      </c>
      <c r="D157" s="92" t="str">
        <f t="shared" si="3"/>
        <v>1961 až 1980-stropy keramické z panelů a vložek nad suterénem s podlahou s PVC</v>
      </c>
      <c r="E157" s="93">
        <v>0.9</v>
      </c>
      <c r="F157">
        <v>0.6</v>
      </c>
      <c r="G157">
        <v>0.4</v>
      </c>
    </row>
    <row r="158" spans="1:7">
      <c r="A158" t="s">
        <v>383</v>
      </c>
      <c r="B158" s="95" t="s">
        <v>23</v>
      </c>
      <c r="C158" s="91" t="s">
        <v>315</v>
      </c>
      <c r="D158" s="92" t="str">
        <f t="shared" si="3"/>
        <v>1981 až 1994-stropy keramické do ocelových nosníků nad suterénem s dřev. podlahou</v>
      </c>
      <c r="E158" s="93">
        <v>1.2</v>
      </c>
      <c r="F158">
        <v>0.6</v>
      </c>
      <c r="G158">
        <v>0.4</v>
      </c>
    </row>
    <row r="159" spans="1:7">
      <c r="A159" t="s">
        <v>383</v>
      </c>
      <c r="B159" s="95" t="s">
        <v>23</v>
      </c>
      <c r="C159" s="91" t="s">
        <v>316</v>
      </c>
      <c r="D159" s="92" t="str">
        <f t="shared" si="3"/>
        <v>1981 až 1994-stropy železobetonové nad suterénem s dřev. podlahou</v>
      </c>
      <c r="E159" s="93">
        <v>1.6</v>
      </c>
      <c r="F159">
        <v>0.6</v>
      </c>
      <c r="G159">
        <v>0.4</v>
      </c>
    </row>
    <row r="160" spans="1:7">
      <c r="A160" t="s">
        <v>383</v>
      </c>
      <c r="B160" s="95" t="s">
        <v>23</v>
      </c>
      <c r="C160" s="91" t="s">
        <v>317</v>
      </c>
      <c r="D160" s="92" t="str">
        <f t="shared" si="3"/>
        <v>1981 až 1994-stropy železobetonové nad suterénem s podlahou s PVC</v>
      </c>
      <c r="E160" s="93">
        <v>1.6</v>
      </c>
      <c r="F160">
        <v>0.6</v>
      </c>
      <c r="G160">
        <v>0.4</v>
      </c>
    </row>
    <row r="161" spans="1:7">
      <c r="A161" t="s">
        <v>383</v>
      </c>
      <c r="B161" s="95" t="s">
        <v>23</v>
      </c>
      <c r="C161" s="91" t="s">
        <v>318</v>
      </c>
      <c r="D161" s="92" t="str">
        <f t="shared" si="3"/>
        <v>1981 až 1994-stropy železobetonové panelové nad suterénem s podlahou s PVC</v>
      </c>
      <c r="E161" s="93">
        <v>1</v>
      </c>
      <c r="F161">
        <v>0.6</v>
      </c>
      <c r="G161">
        <v>0.4</v>
      </c>
    </row>
    <row r="162" spans="1:7">
      <c r="A162" t="s">
        <v>383</v>
      </c>
      <c r="B162" s="95" t="s">
        <v>23</v>
      </c>
      <c r="C162" s="91" t="s">
        <v>319</v>
      </c>
      <c r="D162" s="92" t="str">
        <f t="shared" si="3"/>
        <v>1981 až 1994-stropy keramické z panelů a vložek nad suterénem s podlahou s PVC</v>
      </c>
      <c r="E162" s="93">
        <v>0.9</v>
      </c>
      <c r="F162">
        <v>0.6</v>
      </c>
      <c r="G162">
        <v>0.4</v>
      </c>
    </row>
    <row r="163" spans="1:7">
      <c r="A163" t="s">
        <v>383</v>
      </c>
      <c r="B163" s="96" t="s">
        <v>24</v>
      </c>
      <c r="C163" s="91" t="s">
        <v>334</v>
      </c>
      <c r="D163" s="92" t="str">
        <f t="shared" si="3"/>
        <v>1995 a dále-podlaha nad nevytápěným prostorem do roku 2002</v>
      </c>
      <c r="E163" s="99">
        <v>0.77</v>
      </c>
      <c r="F163">
        <v>0.6</v>
      </c>
      <c r="G163">
        <v>0.4</v>
      </c>
    </row>
    <row r="164" spans="1:7">
      <c r="A164" t="s">
        <v>383</v>
      </c>
      <c r="B164" s="96" t="s">
        <v>24</v>
      </c>
      <c r="C164" s="97" t="s">
        <v>457</v>
      </c>
      <c r="D164" s="92" t="str">
        <f t="shared" si="3"/>
        <v>1995 a dále-podlaha s podlahovým vytápěním lehká</v>
      </c>
      <c r="E164" s="99">
        <v>0.24</v>
      </c>
      <c r="F164">
        <v>0.6</v>
      </c>
      <c r="G164">
        <v>0.4</v>
      </c>
    </row>
    <row r="165" spans="1:7">
      <c r="A165" t="s">
        <v>383</v>
      </c>
      <c r="B165" s="96" t="s">
        <v>24</v>
      </c>
      <c r="C165" s="98" t="s">
        <v>458</v>
      </c>
      <c r="D165" s="92" t="str">
        <f t="shared" si="3"/>
        <v>1995 a dále-podlaha s podlahovým vytápěním těžká</v>
      </c>
      <c r="E165" s="100">
        <v>0.3</v>
      </c>
      <c r="F165">
        <v>0.6</v>
      </c>
      <c r="G165">
        <v>0.4</v>
      </c>
    </row>
    <row r="166" spans="1:7">
      <c r="A166" t="s">
        <v>383</v>
      </c>
      <c r="B166" s="96" t="s">
        <v>24</v>
      </c>
      <c r="C166" s="98" t="s">
        <v>335</v>
      </c>
      <c r="D166" s="92" t="str">
        <f t="shared" ref="D166:D182" si="4">CONCATENATE(B166,"-",C166)</f>
        <v>1995 a dále-strop nad nevytápěným prostorem po roce 2002</v>
      </c>
      <c r="E166" s="100">
        <v>0.6</v>
      </c>
      <c r="F166">
        <v>0.6</v>
      </c>
      <c r="G166">
        <v>0.4</v>
      </c>
    </row>
    <row r="167" spans="1:7">
      <c r="A167" t="s">
        <v>285</v>
      </c>
      <c r="B167" s="90" t="s">
        <v>19</v>
      </c>
      <c r="C167" s="91" t="s">
        <v>34</v>
      </c>
      <c r="D167" s="92" t="str">
        <f t="shared" si="4"/>
        <v>&lt; 1920-okna dřevěná špaletová se 2 skly</v>
      </c>
      <c r="E167" s="93">
        <v>2.35</v>
      </c>
      <c r="F167">
        <v>1.5</v>
      </c>
      <c r="G167">
        <v>1.2</v>
      </c>
    </row>
    <row r="168" spans="1:7">
      <c r="A168" t="s">
        <v>285</v>
      </c>
      <c r="B168" s="90" t="s">
        <v>19</v>
      </c>
      <c r="C168" s="91" t="s">
        <v>100</v>
      </c>
      <c r="D168" s="92" t="str">
        <f t="shared" si="4"/>
        <v>&lt; 1920-okna dřevěná jednoduchá s 1 sklem</v>
      </c>
      <c r="E168" s="93">
        <v>4.5</v>
      </c>
      <c r="F168">
        <v>1.5</v>
      </c>
      <c r="G168">
        <v>1.2</v>
      </c>
    </row>
    <row r="169" spans="1:7">
      <c r="A169" t="s">
        <v>285</v>
      </c>
      <c r="B169" s="90" t="s">
        <v>19</v>
      </c>
      <c r="C169" s="91" t="s">
        <v>101</v>
      </c>
      <c r="D169" s="92" t="str">
        <f t="shared" si="4"/>
        <v>&lt; 1920-okna dřevěná zdvojená se 2 skly</v>
      </c>
      <c r="E169" s="93">
        <v>2.4</v>
      </c>
      <c r="F169">
        <v>1.5</v>
      </c>
      <c r="G169">
        <v>1.2</v>
      </c>
    </row>
    <row r="170" spans="1:7">
      <c r="A170" t="s">
        <v>285</v>
      </c>
      <c r="B170" s="90" t="s">
        <v>19</v>
      </c>
      <c r="C170" s="91" t="s">
        <v>102</v>
      </c>
      <c r="D170" s="92" t="str">
        <f t="shared" si="4"/>
        <v>&lt; 1920-okna kovová zdvojená se 2 skly</v>
      </c>
      <c r="E170" s="93">
        <v>3.3</v>
      </c>
      <c r="F170">
        <v>1.5</v>
      </c>
      <c r="G170">
        <v>1.2</v>
      </c>
    </row>
    <row r="171" spans="1:7">
      <c r="A171" t="s">
        <v>285</v>
      </c>
      <c r="B171" s="90" t="s">
        <v>19</v>
      </c>
      <c r="C171" s="91" t="s">
        <v>337</v>
      </c>
      <c r="D171" s="92" t="str">
        <f t="shared" si="4"/>
        <v>&lt; 1920-kopility</v>
      </c>
      <c r="E171" s="93">
        <v>2.7</v>
      </c>
      <c r="F171">
        <v>1.5</v>
      </c>
      <c r="G171">
        <v>1.2</v>
      </c>
    </row>
    <row r="172" spans="1:7">
      <c r="A172" t="s">
        <v>285</v>
      </c>
      <c r="B172" s="90" t="s">
        <v>19</v>
      </c>
      <c r="C172" s="91" t="s">
        <v>336</v>
      </c>
      <c r="D172" s="92" t="str">
        <f t="shared" si="4"/>
        <v>&lt; 1920-sklobetonová stěna (luxfery)</v>
      </c>
      <c r="E172" s="93">
        <v>3.1</v>
      </c>
      <c r="F172">
        <v>1.5</v>
      </c>
      <c r="G172">
        <v>1.2</v>
      </c>
    </row>
    <row r="173" spans="1:7">
      <c r="A173" t="s">
        <v>285</v>
      </c>
      <c r="B173" s="90" t="s">
        <v>19</v>
      </c>
      <c r="C173" s="91" t="s">
        <v>742</v>
      </c>
      <c r="D173" s="92" t="str">
        <f t="shared" si="4"/>
        <v>&lt; 1920-okna vyměněná před 2011</v>
      </c>
      <c r="E173" s="93">
        <v>1.7</v>
      </c>
      <c r="F173">
        <v>1.5</v>
      </c>
      <c r="G173">
        <v>1.2</v>
      </c>
    </row>
    <row r="174" spans="1:7">
      <c r="A174" t="s">
        <v>285</v>
      </c>
      <c r="B174" s="90" t="s">
        <v>19</v>
      </c>
      <c r="C174" s="91" t="s">
        <v>741</v>
      </c>
      <c r="D174" s="92" t="str">
        <f t="shared" si="4"/>
        <v>&lt; 1920-okna vyměněná po roce 2011</v>
      </c>
      <c r="E174" s="93">
        <v>1.5</v>
      </c>
      <c r="F174">
        <v>1.5</v>
      </c>
      <c r="G174">
        <v>1.2</v>
      </c>
    </row>
    <row r="175" spans="1:7">
      <c r="A175" t="s">
        <v>285</v>
      </c>
      <c r="B175" s="95" t="s">
        <v>20</v>
      </c>
      <c r="C175" s="91" t="s">
        <v>34</v>
      </c>
      <c r="D175" s="92" t="str">
        <f t="shared" si="4"/>
        <v>1921 až 1945-okna dřevěná špaletová se 2 skly</v>
      </c>
      <c r="E175" s="93">
        <v>2.35</v>
      </c>
      <c r="F175">
        <v>1.5</v>
      </c>
      <c r="G175">
        <v>1.2</v>
      </c>
    </row>
    <row r="176" spans="1:7">
      <c r="A176" t="s">
        <v>285</v>
      </c>
      <c r="B176" s="95" t="s">
        <v>20</v>
      </c>
      <c r="C176" s="91" t="s">
        <v>100</v>
      </c>
      <c r="D176" s="92" t="str">
        <f t="shared" si="4"/>
        <v>1921 až 1945-okna dřevěná jednoduchá s 1 sklem</v>
      </c>
      <c r="E176" s="93">
        <v>4.5</v>
      </c>
      <c r="F176">
        <v>1.5</v>
      </c>
      <c r="G176">
        <v>1.2</v>
      </c>
    </row>
    <row r="177" spans="1:7">
      <c r="A177" t="s">
        <v>285</v>
      </c>
      <c r="B177" s="95" t="s">
        <v>20</v>
      </c>
      <c r="C177" s="91" t="s">
        <v>101</v>
      </c>
      <c r="D177" s="92" t="str">
        <f t="shared" si="4"/>
        <v>1921 až 1945-okna dřevěná zdvojená se 2 skly</v>
      </c>
      <c r="E177" s="93">
        <v>2.4</v>
      </c>
      <c r="F177">
        <v>1.5</v>
      </c>
      <c r="G177">
        <v>1.2</v>
      </c>
    </row>
    <row r="178" spans="1:7">
      <c r="A178" t="s">
        <v>285</v>
      </c>
      <c r="B178" s="95" t="s">
        <v>20</v>
      </c>
      <c r="C178" s="91" t="s">
        <v>102</v>
      </c>
      <c r="D178" s="92" t="str">
        <f t="shared" si="4"/>
        <v>1921 až 1945-okna kovová zdvojená se 2 skly</v>
      </c>
      <c r="E178" s="93">
        <v>3.3</v>
      </c>
      <c r="F178">
        <v>1.5</v>
      </c>
      <c r="G178">
        <v>1.2</v>
      </c>
    </row>
    <row r="179" spans="1:7">
      <c r="A179" t="s">
        <v>285</v>
      </c>
      <c r="B179" s="95" t="s">
        <v>20</v>
      </c>
      <c r="C179" s="91" t="s">
        <v>337</v>
      </c>
      <c r="D179" s="92" t="str">
        <f t="shared" si="4"/>
        <v>1921 až 1945-kopility</v>
      </c>
      <c r="E179" s="93">
        <v>2.7</v>
      </c>
      <c r="F179">
        <v>1.5</v>
      </c>
      <c r="G179">
        <v>1.2</v>
      </c>
    </row>
    <row r="180" spans="1:7">
      <c r="A180" t="s">
        <v>285</v>
      </c>
      <c r="B180" s="95" t="s">
        <v>20</v>
      </c>
      <c r="C180" s="91" t="s">
        <v>336</v>
      </c>
      <c r="D180" s="92" t="str">
        <f t="shared" si="4"/>
        <v>1921 až 1945-sklobetonová stěna (luxfery)</v>
      </c>
      <c r="E180" s="93">
        <v>3.1</v>
      </c>
      <c r="F180">
        <v>1.5</v>
      </c>
      <c r="G180">
        <v>1.2</v>
      </c>
    </row>
    <row r="181" spans="1:7">
      <c r="A181" t="s">
        <v>285</v>
      </c>
      <c r="B181" s="95" t="s">
        <v>20</v>
      </c>
      <c r="C181" s="91" t="s">
        <v>742</v>
      </c>
      <c r="D181" s="92" t="str">
        <f t="shared" si="4"/>
        <v>1921 až 1945-okna vyměněná před 2011</v>
      </c>
      <c r="E181" s="93">
        <v>1.7</v>
      </c>
      <c r="F181">
        <v>1.5</v>
      </c>
      <c r="G181">
        <v>1.2</v>
      </c>
    </row>
    <row r="182" spans="1:7">
      <c r="A182" t="s">
        <v>285</v>
      </c>
      <c r="B182" s="95" t="s">
        <v>20</v>
      </c>
      <c r="C182" s="91" t="s">
        <v>741</v>
      </c>
      <c r="D182" s="92" t="str">
        <f t="shared" si="4"/>
        <v>1921 až 1945-okna vyměněná po roce 2011</v>
      </c>
      <c r="E182" s="93">
        <v>1.5</v>
      </c>
      <c r="F182">
        <v>1.5</v>
      </c>
      <c r="G182">
        <v>1.2</v>
      </c>
    </row>
    <row r="183" spans="1:7">
      <c r="A183" t="s">
        <v>285</v>
      </c>
      <c r="B183" s="95" t="s">
        <v>21</v>
      </c>
      <c r="C183" s="91" t="s">
        <v>34</v>
      </c>
      <c r="D183" s="92" t="str">
        <f t="shared" ref="D183:D190" si="5">CONCATENATE(B183,"-",C183)</f>
        <v>1946 až 1960-okna dřevěná špaletová se 2 skly</v>
      </c>
      <c r="E183" s="93">
        <v>2.35</v>
      </c>
      <c r="F183">
        <v>1.5</v>
      </c>
      <c r="G183">
        <v>1.2</v>
      </c>
    </row>
    <row r="184" spans="1:7">
      <c r="A184" t="s">
        <v>285</v>
      </c>
      <c r="B184" s="95" t="s">
        <v>21</v>
      </c>
      <c r="C184" s="91" t="s">
        <v>100</v>
      </c>
      <c r="D184" s="92" t="str">
        <f t="shared" si="5"/>
        <v>1946 až 1960-okna dřevěná jednoduchá s 1 sklem</v>
      </c>
      <c r="E184" s="93">
        <v>4.5</v>
      </c>
      <c r="F184">
        <v>1.5</v>
      </c>
      <c r="G184">
        <v>1.2</v>
      </c>
    </row>
    <row r="185" spans="1:7">
      <c r="A185" t="s">
        <v>285</v>
      </c>
      <c r="B185" s="95" t="s">
        <v>21</v>
      </c>
      <c r="C185" s="91" t="s">
        <v>101</v>
      </c>
      <c r="D185" s="92" t="str">
        <f t="shared" si="5"/>
        <v>1946 až 1960-okna dřevěná zdvojená se 2 skly</v>
      </c>
      <c r="E185" s="93">
        <v>2.4</v>
      </c>
      <c r="F185">
        <v>1.5</v>
      </c>
      <c r="G185">
        <v>1.2</v>
      </c>
    </row>
    <row r="186" spans="1:7">
      <c r="A186" t="s">
        <v>285</v>
      </c>
      <c r="B186" s="95" t="s">
        <v>21</v>
      </c>
      <c r="C186" s="91" t="s">
        <v>102</v>
      </c>
      <c r="D186" s="92" t="str">
        <f t="shared" si="5"/>
        <v>1946 až 1960-okna kovová zdvojená se 2 skly</v>
      </c>
      <c r="E186" s="93">
        <v>3.3</v>
      </c>
      <c r="F186">
        <v>1.5</v>
      </c>
      <c r="G186">
        <v>1.2</v>
      </c>
    </row>
    <row r="187" spans="1:7">
      <c r="A187" t="s">
        <v>285</v>
      </c>
      <c r="B187" s="95" t="s">
        <v>21</v>
      </c>
      <c r="C187" s="91" t="s">
        <v>337</v>
      </c>
      <c r="D187" s="92" t="str">
        <f t="shared" si="5"/>
        <v>1946 až 1960-kopility</v>
      </c>
      <c r="E187" s="93">
        <v>2.7</v>
      </c>
      <c r="F187">
        <v>1.5</v>
      </c>
      <c r="G187">
        <v>1.2</v>
      </c>
    </row>
    <row r="188" spans="1:7">
      <c r="A188" t="s">
        <v>285</v>
      </c>
      <c r="B188" s="95" t="s">
        <v>21</v>
      </c>
      <c r="C188" s="91" t="s">
        <v>336</v>
      </c>
      <c r="D188" s="92" t="str">
        <f t="shared" si="5"/>
        <v>1946 až 1960-sklobetonová stěna (luxfery)</v>
      </c>
      <c r="E188" s="93">
        <v>3.1</v>
      </c>
      <c r="F188">
        <v>1.5</v>
      </c>
      <c r="G188">
        <v>1.2</v>
      </c>
    </row>
    <row r="189" spans="1:7">
      <c r="A189" t="s">
        <v>285</v>
      </c>
      <c r="B189" s="95" t="s">
        <v>21</v>
      </c>
      <c r="C189" s="91" t="s">
        <v>742</v>
      </c>
      <c r="D189" s="92" t="str">
        <f t="shared" si="5"/>
        <v>1946 až 1960-okna vyměněná před 2011</v>
      </c>
      <c r="E189" s="93">
        <v>1.7</v>
      </c>
      <c r="F189">
        <v>1.5</v>
      </c>
      <c r="G189">
        <v>1.2</v>
      </c>
    </row>
    <row r="190" spans="1:7">
      <c r="A190" t="s">
        <v>285</v>
      </c>
      <c r="B190" s="95" t="s">
        <v>21</v>
      </c>
      <c r="C190" s="91" t="s">
        <v>741</v>
      </c>
      <c r="D190" s="92" t="str">
        <f t="shared" si="5"/>
        <v>1946 až 1960-okna vyměněná po roce 2011</v>
      </c>
      <c r="E190" s="93">
        <v>1.5</v>
      </c>
      <c r="F190">
        <v>1.5</v>
      </c>
      <c r="G190">
        <v>1.2</v>
      </c>
    </row>
    <row r="191" spans="1:7">
      <c r="A191" t="s">
        <v>285</v>
      </c>
      <c r="B191" s="96" t="s">
        <v>22</v>
      </c>
      <c r="C191" s="91" t="s">
        <v>34</v>
      </c>
      <c r="D191" s="92" t="str">
        <f t="shared" si="3"/>
        <v>1961 až 1980-okna dřevěná špaletová se 2 skly</v>
      </c>
      <c r="E191" s="93">
        <v>2.35</v>
      </c>
      <c r="F191">
        <v>1.5</v>
      </c>
      <c r="G191">
        <v>1.2</v>
      </c>
    </row>
    <row r="192" spans="1:7">
      <c r="A192" t="s">
        <v>285</v>
      </c>
      <c r="B192" s="96" t="s">
        <v>22</v>
      </c>
      <c r="C192" s="91" t="s">
        <v>100</v>
      </c>
      <c r="D192" s="92" t="str">
        <f t="shared" si="3"/>
        <v>1961 až 1980-okna dřevěná jednoduchá s 1 sklem</v>
      </c>
      <c r="E192" s="93">
        <v>4.5</v>
      </c>
      <c r="F192">
        <v>1.5</v>
      </c>
      <c r="G192">
        <v>1.2</v>
      </c>
    </row>
    <row r="193" spans="1:7">
      <c r="A193" t="s">
        <v>285</v>
      </c>
      <c r="B193" s="96" t="s">
        <v>22</v>
      </c>
      <c r="C193" s="91" t="s">
        <v>101</v>
      </c>
      <c r="D193" s="92" t="str">
        <f t="shared" si="3"/>
        <v>1961 až 1980-okna dřevěná zdvojená se 2 skly</v>
      </c>
      <c r="E193" s="93">
        <v>2.4</v>
      </c>
      <c r="F193">
        <v>1.5</v>
      </c>
      <c r="G193">
        <v>1.2</v>
      </c>
    </row>
    <row r="194" spans="1:7">
      <c r="A194" t="s">
        <v>285</v>
      </c>
      <c r="B194" s="96" t="s">
        <v>22</v>
      </c>
      <c r="C194" s="91" t="s">
        <v>102</v>
      </c>
      <c r="D194" s="92" t="str">
        <f t="shared" si="3"/>
        <v>1961 až 1980-okna kovová zdvojená se 2 skly</v>
      </c>
      <c r="E194" s="93">
        <v>3.3</v>
      </c>
      <c r="F194">
        <v>1.5</v>
      </c>
      <c r="G194">
        <v>1.2</v>
      </c>
    </row>
    <row r="195" spans="1:7">
      <c r="A195" t="s">
        <v>285</v>
      </c>
      <c r="B195" s="96" t="s">
        <v>22</v>
      </c>
      <c r="C195" s="91" t="s">
        <v>337</v>
      </c>
      <c r="D195" s="92" t="str">
        <f>CONCATENATE(B195,"-",C195)</f>
        <v>1961 až 1980-kopility</v>
      </c>
      <c r="E195" s="93">
        <v>2.7</v>
      </c>
      <c r="F195">
        <v>1.5</v>
      </c>
      <c r="G195">
        <v>1.2</v>
      </c>
    </row>
    <row r="196" spans="1:7">
      <c r="A196" t="s">
        <v>285</v>
      </c>
      <c r="B196" s="96" t="s">
        <v>22</v>
      </c>
      <c r="C196" s="91" t="s">
        <v>336</v>
      </c>
      <c r="D196" s="92" t="str">
        <f>CONCATENATE(B196,"-",C196)</f>
        <v>1961 až 1980-sklobetonová stěna (luxfery)</v>
      </c>
      <c r="E196" s="93">
        <v>3.1</v>
      </c>
      <c r="F196">
        <v>1.5</v>
      </c>
      <c r="G196">
        <v>1.2</v>
      </c>
    </row>
    <row r="197" spans="1:7">
      <c r="A197" t="s">
        <v>285</v>
      </c>
      <c r="B197" s="96" t="s">
        <v>22</v>
      </c>
      <c r="C197" s="91" t="s">
        <v>742</v>
      </c>
      <c r="D197" s="92" t="str">
        <f>CONCATENATE(B197,"-",C197)</f>
        <v>1961 až 1980-okna vyměněná před 2011</v>
      </c>
      <c r="E197" s="93">
        <v>1.7</v>
      </c>
      <c r="F197">
        <v>1.5</v>
      </c>
      <c r="G197">
        <v>1.2</v>
      </c>
    </row>
    <row r="198" spans="1:7">
      <c r="A198" t="s">
        <v>285</v>
      </c>
      <c r="B198" s="96" t="s">
        <v>22</v>
      </c>
      <c r="C198" s="91" t="s">
        <v>741</v>
      </c>
      <c r="D198" s="92" t="str">
        <f>CONCATENATE(B198,"-",C198)</f>
        <v>1961 až 1980-okna vyměněná po roce 2011</v>
      </c>
      <c r="E198" s="93">
        <v>1.5</v>
      </c>
      <c r="F198">
        <v>1.5</v>
      </c>
      <c r="G198">
        <v>1.2</v>
      </c>
    </row>
    <row r="199" spans="1:7">
      <c r="A199" t="s">
        <v>285</v>
      </c>
      <c r="B199" s="95" t="s">
        <v>23</v>
      </c>
      <c r="C199" s="91" t="s">
        <v>101</v>
      </c>
      <c r="D199" s="92" t="str">
        <f t="shared" si="3"/>
        <v>1981 až 1994-okna dřevěná zdvojená se 2 skly</v>
      </c>
      <c r="E199" s="93">
        <v>2.4</v>
      </c>
      <c r="F199">
        <v>1.5</v>
      </c>
      <c r="G199">
        <v>1.2</v>
      </c>
    </row>
    <row r="200" spans="1:7">
      <c r="A200" t="s">
        <v>285</v>
      </c>
      <c r="B200" s="95" t="s">
        <v>23</v>
      </c>
      <c r="C200" s="91" t="s">
        <v>103</v>
      </c>
      <c r="D200" s="92" t="str">
        <f t="shared" si="3"/>
        <v>1981 až 1994-okna dřevěná jednoduchá s izolačním dvojsklem</v>
      </c>
      <c r="E200" s="93">
        <v>2.5</v>
      </c>
      <c r="F200">
        <v>1.5</v>
      </c>
      <c r="G200">
        <v>1.2</v>
      </c>
    </row>
    <row r="201" spans="1:7">
      <c r="A201" t="s">
        <v>285</v>
      </c>
      <c r="B201" s="95" t="s">
        <v>23</v>
      </c>
      <c r="C201" s="91" t="s">
        <v>102</v>
      </c>
      <c r="D201" s="92" t="str">
        <f t="shared" ref="D201:D211" si="6">CONCATENATE(B201,"-",C201)</f>
        <v>1981 až 1994-okna kovová zdvojená se 2 skly</v>
      </c>
      <c r="E201" s="93">
        <v>2.8</v>
      </c>
      <c r="F201">
        <v>1.5</v>
      </c>
      <c r="G201">
        <v>1.2</v>
      </c>
    </row>
    <row r="202" spans="1:7">
      <c r="A202" t="s">
        <v>285</v>
      </c>
      <c r="B202" s="95" t="s">
        <v>23</v>
      </c>
      <c r="C202" s="91" t="s">
        <v>104</v>
      </c>
      <c r="D202" s="92" t="str">
        <f t="shared" si="6"/>
        <v>1981 až 1994-okna kovová jednoduchá s izolačním dvojsklem</v>
      </c>
      <c r="E202" s="93">
        <v>3.2</v>
      </c>
      <c r="F202">
        <v>1.5</v>
      </c>
      <c r="G202">
        <v>1.2</v>
      </c>
    </row>
    <row r="203" spans="1:7">
      <c r="A203" t="s">
        <v>285</v>
      </c>
      <c r="B203" s="95" t="s">
        <v>23</v>
      </c>
      <c r="C203" s="91" t="s">
        <v>337</v>
      </c>
      <c r="D203" s="92" t="str">
        <f t="shared" si="6"/>
        <v>1981 až 1994-kopility</v>
      </c>
      <c r="E203" s="93">
        <v>2.7</v>
      </c>
      <c r="F203">
        <v>1.5</v>
      </c>
      <c r="G203">
        <v>1.2</v>
      </c>
    </row>
    <row r="204" spans="1:7">
      <c r="A204" t="s">
        <v>285</v>
      </c>
      <c r="B204" s="95" t="s">
        <v>23</v>
      </c>
      <c r="C204" s="91" t="s">
        <v>336</v>
      </c>
      <c r="D204" s="92" t="str">
        <f t="shared" si="6"/>
        <v>1981 až 1994-sklobetonová stěna (luxfery)</v>
      </c>
      <c r="E204" s="93">
        <v>3.1</v>
      </c>
      <c r="F204">
        <v>1.5</v>
      </c>
      <c r="G204">
        <v>1.2</v>
      </c>
    </row>
    <row r="205" spans="1:7">
      <c r="A205" t="s">
        <v>285</v>
      </c>
      <c r="B205" s="95" t="s">
        <v>23</v>
      </c>
      <c r="C205" s="91" t="s">
        <v>347</v>
      </c>
      <c r="D205" s="92" t="str">
        <f>CONCATENATE(B205,"-",C205)</f>
        <v>1981 až 1994-komůrkový polykarbonát</v>
      </c>
      <c r="E205" s="93">
        <v>3.6</v>
      </c>
      <c r="F205">
        <v>1.5</v>
      </c>
      <c r="G205">
        <v>1.2</v>
      </c>
    </row>
    <row r="206" spans="1:7">
      <c r="A206" t="s">
        <v>285</v>
      </c>
      <c r="B206" s="95" t="s">
        <v>23</v>
      </c>
      <c r="C206" s="91" t="s">
        <v>332</v>
      </c>
      <c r="D206" s="92" t="str">
        <f>CONCATENATE(B206,"-",C206)</f>
        <v>1981 až 1994-okna nová po roce 2002</v>
      </c>
      <c r="E206" s="93">
        <v>1.7</v>
      </c>
      <c r="F206">
        <v>1.5</v>
      </c>
      <c r="G206">
        <v>1.2</v>
      </c>
    </row>
    <row r="207" spans="1:7">
      <c r="A207" t="s">
        <v>285</v>
      </c>
      <c r="B207" s="95" t="s">
        <v>23</v>
      </c>
      <c r="C207" s="91" t="s">
        <v>333</v>
      </c>
      <c r="D207" s="92" t="str">
        <f>CONCATENATE(B207,"-",C207)</f>
        <v>1981 až 1994-okna nová po roce 2011</v>
      </c>
      <c r="E207" s="93">
        <v>1.5</v>
      </c>
      <c r="F207">
        <v>1.5</v>
      </c>
      <c r="G207">
        <v>1.2</v>
      </c>
    </row>
    <row r="208" spans="1:7">
      <c r="A208" t="s">
        <v>285</v>
      </c>
      <c r="B208" s="96" t="s">
        <v>24</v>
      </c>
      <c r="C208" s="91" t="s">
        <v>338</v>
      </c>
      <c r="D208" s="92" t="str">
        <f t="shared" si="6"/>
        <v>1995 a dále-okna do roku 2002</v>
      </c>
      <c r="E208" s="93">
        <v>1.8</v>
      </c>
      <c r="F208">
        <v>1.5</v>
      </c>
      <c r="G208">
        <v>1.2</v>
      </c>
    </row>
    <row r="209" spans="1:7">
      <c r="A209" t="s">
        <v>285</v>
      </c>
      <c r="B209" s="96" t="s">
        <v>24</v>
      </c>
      <c r="C209" s="91" t="s">
        <v>332</v>
      </c>
      <c r="D209" s="92" t="str">
        <f>CONCATENATE(B209,"-",C209)</f>
        <v>1995 a dále-okna nová po roce 2002</v>
      </c>
      <c r="E209" s="93">
        <v>1.7</v>
      </c>
      <c r="F209">
        <v>1.5</v>
      </c>
      <c r="G209">
        <v>1.2</v>
      </c>
    </row>
    <row r="210" spans="1:7">
      <c r="A210" t="s">
        <v>285</v>
      </c>
      <c r="B210" s="96" t="s">
        <v>24</v>
      </c>
      <c r="C210" s="91" t="s">
        <v>333</v>
      </c>
      <c r="D210" s="92" t="str">
        <f>CONCATENATE(B210,"-",C210)</f>
        <v>1995 a dále-okna nová po roce 2011</v>
      </c>
      <c r="E210" s="93">
        <v>1.5</v>
      </c>
      <c r="F210">
        <v>1.5</v>
      </c>
      <c r="G210">
        <v>1.2</v>
      </c>
    </row>
    <row r="211" spans="1:7">
      <c r="A211" t="s">
        <v>285</v>
      </c>
      <c r="B211" s="96" t="s">
        <v>24</v>
      </c>
      <c r="C211" s="97" t="s">
        <v>339</v>
      </c>
      <c r="D211" s="92" t="str">
        <f t="shared" si="6"/>
        <v xml:space="preserve">1995 a dále-okna repasovaná </v>
      </c>
      <c r="E211" s="93">
        <v>2</v>
      </c>
      <c r="F211">
        <v>1.5</v>
      </c>
      <c r="G211">
        <v>1.2</v>
      </c>
    </row>
    <row r="212" spans="1:7">
      <c r="A212" t="s">
        <v>285</v>
      </c>
      <c r="B212" s="96" t="s">
        <v>24</v>
      </c>
      <c r="C212" s="91" t="s">
        <v>344</v>
      </c>
      <c r="D212" s="92" t="str">
        <f>CONCATENATE(B212,"-",C212)</f>
        <v>1995 a dále-komůrkový polykarbonát tl. 16 mm</v>
      </c>
      <c r="E212" s="93">
        <v>2</v>
      </c>
      <c r="F212">
        <v>1.5</v>
      </c>
      <c r="G212">
        <v>1.2</v>
      </c>
    </row>
    <row r="213" spans="1:7">
      <c r="A213" t="s">
        <v>285</v>
      </c>
      <c r="B213" s="96" t="s">
        <v>24</v>
      </c>
      <c r="C213" s="91" t="s">
        <v>345</v>
      </c>
      <c r="D213" s="92" t="str">
        <f>CONCATENATE(B213,"-",C213)</f>
        <v>1995 a dále-komůrkový polykarbonát tl. 25 mm</v>
      </c>
      <c r="E213" s="93">
        <v>1.5</v>
      </c>
      <c r="F213">
        <v>1.5</v>
      </c>
      <c r="G213">
        <v>1.2</v>
      </c>
    </row>
    <row r="214" spans="1:7">
      <c r="A214" t="s">
        <v>285</v>
      </c>
      <c r="B214" s="96" t="s">
        <v>24</v>
      </c>
      <c r="C214" s="91" t="s">
        <v>346</v>
      </c>
      <c r="D214" s="92" t="str">
        <f t="shared" ref="D214:D235" si="7">CONCATENATE(B214,"-",C214)</f>
        <v>1995 a dále-komůrkový polykarbonát tl. 32 mm</v>
      </c>
      <c r="E214" s="93">
        <v>1.3</v>
      </c>
      <c r="F214">
        <v>1.5</v>
      </c>
      <c r="G214">
        <v>1.2</v>
      </c>
    </row>
    <row r="215" spans="1:7">
      <c r="A215" t="s">
        <v>289</v>
      </c>
      <c r="B215" s="90" t="s">
        <v>19</v>
      </c>
      <c r="C215" s="101" t="s">
        <v>323</v>
      </c>
      <c r="D215" s="92" t="str">
        <f t="shared" si="7"/>
        <v>&lt; 1920-dveře dřevěné prosklené s 1 sklem</v>
      </c>
      <c r="E215" s="102">
        <v>4</v>
      </c>
      <c r="F215">
        <v>1.7</v>
      </c>
      <c r="G215">
        <v>1.2</v>
      </c>
    </row>
    <row r="216" spans="1:7">
      <c r="A216" t="s">
        <v>289</v>
      </c>
      <c r="B216" s="90" t="s">
        <v>19</v>
      </c>
      <c r="C216" s="101" t="s">
        <v>324</v>
      </c>
      <c r="D216" s="92" t="str">
        <f t="shared" si="7"/>
        <v>&lt; 1920-dveře dřevěné prosklené iz. dvojsklem</v>
      </c>
      <c r="E216" s="102">
        <v>3</v>
      </c>
      <c r="F216">
        <v>1.7</v>
      </c>
      <c r="G216">
        <v>1.2</v>
      </c>
    </row>
    <row r="217" spans="1:7">
      <c r="A217" t="s">
        <v>289</v>
      </c>
      <c r="B217" s="90" t="s">
        <v>19</v>
      </c>
      <c r="C217" s="101" t="s">
        <v>320</v>
      </c>
      <c r="D217" s="92" t="str">
        <f t="shared" si="7"/>
        <v>&lt; 1920-dveře dřevěné plné</v>
      </c>
      <c r="E217" s="102">
        <v>2.2999999999999998</v>
      </c>
      <c r="F217">
        <v>1.7</v>
      </c>
      <c r="G217">
        <v>1.2</v>
      </c>
    </row>
    <row r="218" spans="1:7">
      <c r="A218" t="s">
        <v>289</v>
      </c>
      <c r="B218" s="90" t="s">
        <v>19</v>
      </c>
      <c r="C218" s="101" t="s">
        <v>321</v>
      </c>
      <c r="D218" s="92" t="str">
        <f t="shared" si="7"/>
        <v>&lt; 1920-dveře kovové prosklené s 1 sklem</v>
      </c>
      <c r="E218" s="102">
        <v>5.65</v>
      </c>
      <c r="F218">
        <v>1.7</v>
      </c>
      <c r="G218">
        <v>1.2</v>
      </c>
    </row>
    <row r="219" spans="1:7">
      <c r="A219" t="s">
        <v>289</v>
      </c>
      <c r="B219" s="90" t="s">
        <v>19</v>
      </c>
      <c r="C219" s="101" t="s">
        <v>325</v>
      </c>
      <c r="D219" s="92" t="str">
        <f t="shared" si="7"/>
        <v>&lt; 1920-dveře kovové prosklené iz. dvojsklem</v>
      </c>
      <c r="E219" s="102">
        <v>5</v>
      </c>
      <c r="F219">
        <v>1.7</v>
      </c>
      <c r="G219">
        <v>1.2</v>
      </c>
    </row>
    <row r="220" spans="1:7">
      <c r="A220" t="s">
        <v>289</v>
      </c>
      <c r="B220" s="90" t="s">
        <v>19</v>
      </c>
      <c r="C220" s="101" t="s">
        <v>322</v>
      </c>
      <c r="D220" s="92" t="str">
        <f t="shared" si="7"/>
        <v>&lt; 1920-dveře/vrata kovová plná</v>
      </c>
      <c r="E220" s="102">
        <v>5.65</v>
      </c>
      <c r="F220">
        <v>1.7</v>
      </c>
      <c r="G220">
        <v>1.2</v>
      </c>
    </row>
    <row r="221" spans="1:7">
      <c r="A221" t="s">
        <v>289</v>
      </c>
      <c r="B221" s="90" t="s">
        <v>19</v>
      </c>
      <c r="C221" s="103" t="s">
        <v>326</v>
      </c>
      <c r="D221" s="104" t="str">
        <f t="shared" si="7"/>
        <v>&lt; 1920-vrata sekční tepelně izolační</v>
      </c>
      <c r="E221" s="105">
        <v>2</v>
      </c>
      <c r="F221">
        <v>1.7</v>
      </c>
      <c r="G221">
        <v>1.2</v>
      </c>
    </row>
    <row r="222" spans="1:7">
      <c r="A222" t="s">
        <v>289</v>
      </c>
      <c r="B222" s="95" t="s">
        <v>20</v>
      </c>
      <c r="C222" s="101" t="s">
        <v>323</v>
      </c>
      <c r="D222" s="92" t="str">
        <f t="shared" si="7"/>
        <v>1921 až 1945-dveře dřevěné prosklené s 1 sklem</v>
      </c>
      <c r="E222" s="102">
        <v>4</v>
      </c>
      <c r="F222">
        <v>1.7</v>
      </c>
      <c r="G222">
        <v>1.2</v>
      </c>
    </row>
    <row r="223" spans="1:7">
      <c r="A223" t="s">
        <v>289</v>
      </c>
      <c r="B223" s="95" t="s">
        <v>20</v>
      </c>
      <c r="C223" s="101" t="s">
        <v>324</v>
      </c>
      <c r="D223" s="92" t="str">
        <f t="shared" si="7"/>
        <v>1921 až 1945-dveře dřevěné prosklené iz. dvojsklem</v>
      </c>
      <c r="E223" s="102">
        <v>3</v>
      </c>
      <c r="F223">
        <v>1.7</v>
      </c>
      <c r="G223">
        <v>1.2</v>
      </c>
    </row>
    <row r="224" spans="1:7">
      <c r="A224" t="s">
        <v>289</v>
      </c>
      <c r="B224" s="95" t="s">
        <v>20</v>
      </c>
      <c r="C224" s="101" t="s">
        <v>320</v>
      </c>
      <c r="D224" s="92" t="str">
        <f t="shared" si="7"/>
        <v>1921 až 1945-dveře dřevěné plné</v>
      </c>
      <c r="E224" s="102">
        <v>2.2999999999999998</v>
      </c>
      <c r="F224">
        <v>1.7</v>
      </c>
      <c r="G224">
        <v>1.2</v>
      </c>
    </row>
    <row r="225" spans="1:7">
      <c r="A225" t="s">
        <v>289</v>
      </c>
      <c r="B225" s="95" t="s">
        <v>20</v>
      </c>
      <c r="C225" s="101" t="s">
        <v>321</v>
      </c>
      <c r="D225" s="92" t="str">
        <f t="shared" si="7"/>
        <v>1921 až 1945-dveře kovové prosklené s 1 sklem</v>
      </c>
      <c r="E225" s="102">
        <v>5.65</v>
      </c>
      <c r="F225">
        <v>1.7</v>
      </c>
      <c r="G225">
        <v>1.2</v>
      </c>
    </row>
    <row r="226" spans="1:7">
      <c r="A226" t="s">
        <v>289</v>
      </c>
      <c r="B226" s="95" t="s">
        <v>20</v>
      </c>
      <c r="C226" s="101" t="s">
        <v>325</v>
      </c>
      <c r="D226" s="92" t="str">
        <f t="shared" si="7"/>
        <v>1921 až 1945-dveře kovové prosklené iz. dvojsklem</v>
      </c>
      <c r="E226" s="102">
        <v>5</v>
      </c>
      <c r="F226">
        <v>1.7</v>
      </c>
      <c r="G226">
        <v>1.2</v>
      </c>
    </row>
    <row r="227" spans="1:7">
      <c r="A227" t="s">
        <v>289</v>
      </c>
      <c r="B227" s="95" t="s">
        <v>20</v>
      </c>
      <c r="C227" s="101" t="s">
        <v>322</v>
      </c>
      <c r="D227" s="92" t="str">
        <f t="shared" si="7"/>
        <v>1921 až 1945-dveře/vrata kovová plná</v>
      </c>
      <c r="E227" s="102">
        <v>5.65</v>
      </c>
      <c r="F227">
        <v>1.7</v>
      </c>
      <c r="G227">
        <v>1.2</v>
      </c>
    </row>
    <row r="228" spans="1:7">
      <c r="A228" t="s">
        <v>289</v>
      </c>
      <c r="B228" s="95" t="s">
        <v>20</v>
      </c>
      <c r="C228" s="103" t="s">
        <v>326</v>
      </c>
      <c r="D228" s="104" t="str">
        <f t="shared" si="7"/>
        <v>1921 až 1945-vrata sekční tepelně izolační</v>
      </c>
      <c r="E228" s="105">
        <v>2</v>
      </c>
      <c r="F228">
        <v>1.7</v>
      </c>
      <c r="G228">
        <v>1.2</v>
      </c>
    </row>
    <row r="229" spans="1:7">
      <c r="A229" t="s">
        <v>289</v>
      </c>
      <c r="B229" s="95" t="s">
        <v>21</v>
      </c>
      <c r="C229" s="101" t="s">
        <v>323</v>
      </c>
      <c r="D229" s="92" t="str">
        <f t="shared" si="7"/>
        <v>1946 až 1960-dveře dřevěné prosklené s 1 sklem</v>
      </c>
      <c r="E229" s="102">
        <v>4</v>
      </c>
      <c r="F229">
        <v>1.7</v>
      </c>
      <c r="G229">
        <v>1.2</v>
      </c>
    </row>
    <row r="230" spans="1:7">
      <c r="A230" t="s">
        <v>289</v>
      </c>
      <c r="B230" s="95" t="s">
        <v>21</v>
      </c>
      <c r="C230" s="101" t="s">
        <v>324</v>
      </c>
      <c r="D230" s="92" t="str">
        <f t="shared" si="7"/>
        <v>1946 až 1960-dveře dřevěné prosklené iz. dvojsklem</v>
      </c>
      <c r="E230" s="102">
        <v>3</v>
      </c>
      <c r="F230">
        <v>1.7</v>
      </c>
      <c r="G230">
        <v>1.2</v>
      </c>
    </row>
    <row r="231" spans="1:7">
      <c r="A231" t="s">
        <v>289</v>
      </c>
      <c r="B231" s="95" t="s">
        <v>21</v>
      </c>
      <c r="C231" s="101" t="s">
        <v>320</v>
      </c>
      <c r="D231" s="92" t="str">
        <f t="shared" si="7"/>
        <v>1946 až 1960-dveře dřevěné plné</v>
      </c>
      <c r="E231" s="102">
        <v>2.2999999999999998</v>
      </c>
      <c r="F231">
        <v>1.7</v>
      </c>
      <c r="G231">
        <v>1.2</v>
      </c>
    </row>
    <row r="232" spans="1:7">
      <c r="A232" t="s">
        <v>289</v>
      </c>
      <c r="B232" s="95" t="s">
        <v>21</v>
      </c>
      <c r="C232" s="101" t="s">
        <v>321</v>
      </c>
      <c r="D232" s="92" t="str">
        <f t="shared" si="7"/>
        <v>1946 až 1960-dveře kovové prosklené s 1 sklem</v>
      </c>
      <c r="E232" s="102">
        <v>5.65</v>
      </c>
      <c r="F232">
        <v>1.7</v>
      </c>
      <c r="G232">
        <v>1.2</v>
      </c>
    </row>
    <row r="233" spans="1:7">
      <c r="A233" t="s">
        <v>289</v>
      </c>
      <c r="B233" s="95" t="s">
        <v>21</v>
      </c>
      <c r="C233" s="101" t="s">
        <v>325</v>
      </c>
      <c r="D233" s="92" t="str">
        <f t="shared" si="7"/>
        <v>1946 až 1960-dveře kovové prosklené iz. dvojsklem</v>
      </c>
      <c r="E233" s="102">
        <v>5</v>
      </c>
      <c r="F233">
        <v>1.7</v>
      </c>
      <c r="G233">
        <v>1.2</v>
      </c>
    </row>
    <row r="234" spans="1:7">
      <c r="A234" t="s">
        <v>289</v>
      </c>
      <c r="B234" s="95" t="s">
        <v>21</v>
      </c>
      <c r="C234" s="101" t="s">
        <v>322</v>
      </c>
      <c r="D234" s="92" t="str">
        <f t="shared" si="7"/>
        <v>1946 až 1960-dveře/vrata kovová plná</v>
      </c>
      <c r="E234" s="102">
        <v>5.65</v>
      </c>
      <c r="F234">
        <v>1.7</v>
      </c>
      <c r="G234">
        <v>1.2</v>
      </c>
    </row>
    <row r="235" spans="1:7">
      <c r="A235" t="s">
        <v>289</v>
      </c>
      <c r="B235" s="95" t="s">
        <v>21</v>
      </c>
      <c r="C235" s="103" t="s">
        <v>326</v>
      </c>
      <c r="D235" s="104" t="str">
        <f t="shared" si="7"/>
        <v>1946 až 1960-vrata sekční tepelně izolační</v>
      </c>
      <c r="E235" s="105">
        <v>2</v>
      </c>
      <c r="F235">
        <v>1.7</v>
      </c>
      <c r="G235">
        <v>1.2</v>
      </c>
    </row>
    <row r="236" spans="1:7">
      <c r="A236" t="s">
        <v>289</v>
      </c>
      <c r="B236" s="96" t="s">
        <v>22</v>
      </c>
      <c r="C236" s="101" t="s">
        <v>323</v>
      </c>
      <c r="D236" s="92" t="str">
        <f t="shared" ref="D236:D249" si="8">CONCATENATE(B236,"-",C236)</f>
        <v>1961 až 1980-dveře dřevěné prosklené s 1 sklem</v>
      </c>
      <c r="E236" s="102">
        <v>4</v>
      </c>
      <c r="F236">
        <v>1.7</v>
      </c>
      <c r="G236">
        <v>1.2</v>
      </c>
    </row>
    <row r="237" spans="1:7">
      <c r="A237" t="s">
        <v>289</v>
      </c>
      <c r="B237" s="96" t="s">
        <v>22</v>
      </c>
      <c r="C237" s="101" t="s">
        <v>324</v>
      </c>
      <c r="D237" s="92" t="str">
        <f t="shared" si="8"/>
        <v>1961 až 1980-dveře dřevěné prosklené iz. dvojsklem</v>
      </c>
      <c r="E237" s="102">
        <v>2.2999999999999998</v>
      </c>
      <c r="F237">
        <v>1.7</v>
      </c>
      <c r="G237">
        <v>1.2</v>
      </c>
    </row>
    <row r="238" spans="1:7">
      <c r="A238" t="s">
        <v>289</v>
      </c>
      <c r="B238" s="96" t="s">
        <v>22</v>
      </c>
      <c r="C238" s="101" t="s">
        <v>320</v>
      </c>
      <c r="D238" s="92" t="str">
        <f t="shared" si="8"/>
        <v>1961 až 1980-dveře dřevěné plné</v>
      </c>
      <c r="E238" s="102">
        <v>4</v>
      </c>
      <c r="F238">
        <v>1.7</v>
      </c>
      <c r="G238">
        <v>1.2</v>
      </c>
    </row>
    <row r="239" spans="1:7">
      <c r="A239" t="s">
        <v>289</v>
      </c>
      <c r="B239" s="96" t="s">
        <v>22</v>
      </c>
      <c r="C239" s="101" t="s">
        <v>321</v>
      </c>
      <c r="D239" s="92" t="str">
        <f t="shared" si="8"/>
        <v>1961 až 1980-dveře kovové prosklené s 1 sklem</v>
      </c>
      <c r="E239" s="102">
        <v>5.65</v>
      </c>
      <c r="F239">
        <v>1.7</v>
      </c>
      <c r="G239">
        <v>1.2</v>
      </c>
    </row>
    <row r="240" spans="1:7">
      <c r="A240" t="s">
        <v>289</v>
      </c>
      <c r="B240" s="96" t="s">
        <v>22</v>
      </c>
      <c r="C240" s="101" t="s">
        <v>325</v>
      </c>
      <c r="D240" s="92" t="str">
        <f t="shared" si="8"/>
        <v>1961 až 1980-dveře kovové prosklené iz. dvojsklem</v>
      </c>
      <c r="E240" s="102">
        <v>3.5</v>
      </c>
      <c r="F240">
        <v>1.7</v>
      </c>
      <c r="G240">
        <v>1.2</v>
      </c>
    </row>
    <row r="241" spans="1:7">
      <c r="A241" t="s">
        <v>289</v>
      </c>
      <c r="B241" s="96" t="s">
        <v>22</v>
      </c>
      <c r="C241" s="101" t="s">
        <v>322</v>
      </c>
      <c r="D241" s="92" t="str">
        <f t="shared" si="8"/>
        <v>1961 až 1980-dveře/vrata kovová plná</v>
      </c>
      <c r="E241" s="102">
        <v>5.65</v>
      </c>
      <c r="F241">
        <v>1.7</v>
      </c>
      <c r="G241">
        <v>1.2</v>
      </c>
    </row>
    <row r="242" spans="1:7">
      <c r="A242" t="s">
        <v>289</v>
      </c>
      <c r="B242" s="96" t="s">
        <v>22</v>
      </c>
      <c r="C242" s="103" t="s">
        <v>326</v>
      </c>
      <c r="D242" s="92" t="str">
        <f t="shared" si="8"/>
        <v>1961 až 1980-vrata sekční tepelně izolační</v>
      </c>
      <c r="E242" s="105">
        <v>2</v>
      </c>
      <c r="F242">
        <v>1.7</v>
      </c>
      <c r="G242">
        <v>1.2</v>
      </c>
    </row>
    <row r="243" spans="1:7">
      <c r="A243" t="s">
        <v>289</v>
      </c>
      <c r="B243" s="95" t="s">
        <v>23</v>
      </c>
      <c r="C243" s="101" t="s">
        <v>323</v>
      </c>
      <c r="D243" s="92" t="str">
        <f t="shared" si="8"/>
        <v>1981 až 1994-dveře dřevěné prosklené s 1 sklem</v>
      </c>
      <c r="E243" s="102">
        <v>4</v>
      </c>
      <c r="F243">
        <v>1.7</v>
      </c>
      <c r="G243">
        <v>1.2</v>
      </c>
    </row>
    <row r="244" spans="1:7">
      <c r="A244" t="s">
        <v>289</v>
      </c>
      <c r="B244" s="95" t="s">
        <v>23</v>
      </c>
      <c r="C244" s="101" t="s">
        <v>324</v>
      </c>
      <c r="D244" s="92" t="str">
        <f>CONCATENATE(B244,"-",C244)</f>
        <v>1981 až 1994-dveře dřevěné prosklené iz. dvojsklem</v>
      </c>
      <c r="E244" s="102">
        <v>3</v>
      </c>
      <c r="F244">
        <v>1.7</v>
      </c>
      <c r="G244">
        <v>1.2</v>
      </c>
    </row>
    <row r="245" spans="1:7">
      <c r="A245" t="s">
        <v>289</v>
      </c>
      <c r="B245" s="95" t="s">
        <v>23</v>
      </c>
      <c r="C245" s="101" t="s">
        <v>320</v>
      </c>
      <c r="D245" s="92" t="str">
        <f t="shared" si="8"/>
        <v>1981 až 1994-dveře dřevěné plné</v>
      </c>
      <c r="E245" s="102">
        <v>2.2999999999999998</v>
      </c>
      <c r="F245">
        <v>1.7</v>
      </c>
      <c r="G245">
        <v>1.2</v>
      </c>
    </row>
    <row r="246" spans="1:7">
      <c r="A246" t="s">
        <v>289</v>
      </c>
      <c r="B246" s="95" t="s">
        <v>23</v>
      </c>
      <c r="C246" s="101" t="s">
        <v>321</v>
      </c>
      <c r="D246" s="92" t="str">
        <f t="shared" si="8"/>
        <v>1981 až 1994-dveře kovové prosklené s 1 sklem</v>
      </c>
      <c r="E246" s="102">
        <v>5.65</v>
      </c>
      <c r="F246">
        <v>1.7</v>
      </c>
      <c r="G246">
        <v>1.2</v>
      </c>
    </row>
    <row r="247" spans="1:7">
      <c r="A247" t="s">
        <v>289</v>
      </c>
      <c r="B247" s="95" t="s">
        <v>23</v>
      </c>
      <c r="C247" s="101" t="s">
        <v>325</v>
      </c>
      <c r="D247" s="92" t="str">
        <f>CONCATENATE(B247,"-",C247)</f>
        <v>1981 až 1994-dveře kovové prosklené iz. dvojsklem</v>
      </c>
      <c r="E247" s="102">
        <v>3.5</v>
      </c>
      <c r="F247">
        <v>1.7</v>
      </c>
      <c r="G247">
        <v>1.2</v>
      </c>
    </row>
    <row r="248" spans="1:7">
      <c r="A248" t="s">
        <v>289</v>
      </c>
      <c r="B248" s="95" t="s">
        <v>23</v>
      </c>
      <c r="C248" s="101" t="s">
        <v>322</v>
      </c>
      <c r="D248" s="92" t="str">
        <f>CONCATENATE(B248,"-",C248)</f>
        <v>1981 až 1994-dveře/vrata kovová plná</v>
      </c>
      <c r="E248" s="102">
        <v>5.65</v>
      </c>
      <c r="F248">
        <v>1.7</v>
      </c>
      <c r="G248">
        <v>1.2</v>
      </c>
    </row>
    <row r="249" spans="1:7">
      <c r="A249" t="s">
        <v>289</v>
      </c>
      <c r="B249" s="95" t="s">
        <v>23</v>
      </c>
      <c r="C249" s="103" t="s">
        <v>326</v>
      </c>
      <c r="D249" s="92" t="str">
        <f t="shared" si="8"/>
        <v>1981 až 1994-vrata sekční tepelně izolační</v>
      </c>
      <c r="E249" s="102">
        <v>2</v>
      </c>
      <c r="F249">
        <v>1.7</v>
      </c>
      <c r="G249">
        <v>1.2</v>
      </c>
    </row>
    <row r="250" spans="1:7">
      <c r="A250" t="s">
        <v>289</v>
      </c>
      <c r="B250" s="96" t="s">
        <v>24</v>
      </c>
      <c r="C250" s="101" t="s">
        <v>323</v>
      </c>
      <c r="D250" s="92" t="str">
        <f t="shared" ref="D250:D287" si="9">CONCATENATE(B250,"-",C250)</f>
        <v>1995 a dále-dveře dřevěné prosklené s 1 sklem</v>
      </c>
      <c r="E250" s="102">
        <v>4</v>
      </c>
      <c r="F250">
        <v>1.7</v>
      </c>
      <c r="G250">
        <v>1.2</v>
      </c>
    </row>
    <row r="251" spans="1:7">
      <c r="A251" t="s">
        <v>289</v>
      </c>
      <c r="B251" s="96" t="s">
        <v>24</v>
      </c>
      <c r="C251" s="101" t="s">
        <v>324</v>
      </c>
      <c r="D251" s="92" t="str">
        <f t="shared" si="9"/>
        <v>1995 a dále-dveře dřevěné prosklené iz. dvojsklem</v>
      </c>
      <c r="E251" s="102">
        <v>3</v>
      </c>
      <c r="F251">
        <v>1.7</v>
      </c>
      <c r="G251">
        <v>1.2</v>
      </c>
    </row>
    <row r="252" spans="1:7">
      <c r="A252" t="s">
        <v>289</v>
      </c>
      <c r="B252" s="96" t="s">
        <v>24</v>
      </c>
      <c r="C252" s="101" t="s">
        <v>320</v>
      </c>
      <c r="D252" s="92" t="str">
        <f t="shared" si="9"/>
        <v>1995 a dále-dveře dřevěné plné</v>
      </c>
      <c r="E252" s="102">
        <v>2.2999999999999998</v>
      </c>
      <c r="F252">
        <v>1.7</v>
      </c>
      <c r="G252">
        <v>1.2</v>
      </c>
    </row>
    <row r="253" spans="1:7">
      <c r="A253" t="s">
        <v>289</v>
      </c>
      <c r="B253" s="96" t="s">
        <v>24</v>
      </c>
      <c r="C253" s="101" t="s">
        <v>321</v>
      </c>
      <c r="D253" s="92" t="str">
        <f t="shared" si="9"/>
        <v>1995 a dále-dveře kovové prosklené s 1 sklem</v>
      </c>
      <c r="E253" s="102">
        <v>5.65</v>
      </c>
      <c r="F253">
        <v>1.7</v>
      </c>
      <c r="G253">
        <v>1.2</v>
      </c>
    </row>
    <row r="254" spans="1:7">
      <c r="A254" t="s">
        <v>289</v>
      </c>
      <c r="B254" s="96" t="s">
        <v>24</v>
      </c>
      <c r="C254" s="101" t="s">
        <v>325</v>
      </c>
      <c r="D254" s="92" t="str">
        <f t="shared" si="9"/>
        <v>1995 a dále-dveře kovové prosklené iz. dvojsklem</v>
      </c>
      <c r="E254" s="102">
        <v>3.5</v>
      </c>
      <c r="F254">
        <v>1.7</v>
      </c>
      <c r="G254">
        <v>1.2</v>
      </c>
    </row>
    <row r="255" spans="1:7">
      <c r="A255" t="s">
        <v>289</v>
      </c>
      <c r="B255" s="96" t="s">
        <v>24</v>
      </c>
      <c r="C255" s="101" t="s">
        <v>322</v>
      </c>
      <c r="D255" s="92" t="str">
        <f t="shared" si="9"/>
        <v>1995 a dále-dveře/vrata kovová plná</v>
      </c>
      <c r="E255" s="102">
        <v>5.65</v>
      </c>
      <c r="F255">
        <v>1.7</v>
      </c>
      <c r="G255">
        <v>1.2</v>
      </c>
    </row>
    <row r="256" spans="1:7">
      <c r="A256" t="s">
        <v>289</v>
      </c>
      <c r="B256" s="96" t="s">
        <v>24</v>
      </c>
      <c r="C256" s="103" t="s">
        <v>326</v>
      </c>
      <c r="D256" s="104" t="str">
        <f t="shared" si="9"/>
        <v>1995 a dále-vrata sekční tepelně izolační</v>
      </c>
      <c r="E256" s="105">
        <v>2</v>
      </c>
      <c r="F256">
        <v>1.7</v>
      </c>
      <c r="G256">
        <v>1.2</v>
      </c>
    </row>
    <row r="257" spans="1:7">
      <c r="A257" s="78" t="s">
        <v>291</v>
      </c>
      <c r="B257" s="90" t="s">
        <v>19</v>
      </c>
      <c r="C257" s="91" t="s">
        <v>105</v>
      </c>
      <c r="D257" s="92" t="str">
        <f t="shared" si="9"/>
        <v>&lt; 1920-střešní okna dřevěná jednoduchá s 1 sklem</v>
      </c>
      <c r="E257" s="93">
        <v>4.5</v>
      </c>
      <c r="F257">
        <v>1.5</v>
      </c>
      <c r="G257">
        <v>1.1000000000000001</v>
      </c>
    </row>
    <row r="258" spans="1:7">
      <c r="A258" s="78" t="s">
        <v>291</v>
      </c>
      <c r="B258" s="90" t="s">
        <v>19</v>
      </c>
      <c r="C258" s="91" t="s">
        <v>35</v>
      </c>
      <c r="D258" s="92" t="str">
        <f t="shared" si="9"/>
        <v>&lt; 1920-střešní okna dřevěná jednoduchá s dvojsklem</v>
      </c>
      <c r="E258" s="93">
        <v>2</v>
      </c>
      <c r="F258">
        <v>1.5</v>
      </c>
      <c r="G258">
        <v>1.1000000000000001</v>
      </c>
    </row>
    <row r="259" spans="1:7">
      <c r="A259" s="78" t="s">
        <v>291</v>
      </c>
      <c r="B259" s="90" t="s">
        <v>19</v>
      </c>
      <c r="C259" s="91" t="s">
        <v>348</v>
      </c>
      <c r="D259" s="92" t="str">
        <f>CONCATENATE(B259,"-",C259)</f>
        <v>&lt; 1920-střešní svělíky kovové s 1 sklem</v>
      </c>
      <c r="E259" s="93">
        <v>5.65</v>
      </c>
      <c r="F259">
        <v>1.5</v>
      </c>
      <c r="G259">
        <v>1.1000000000000001</v>
      </c>
    </row>
    <row r="260" spans="1:7">
      <c r="A260" s="78" t="s">
        <v>291</v>
      </c>
      <c r="B260" s="90" t="s">
        <v>19</v>
      </c>
      <c r="C260" s="91" t="s">
        <v>340</v>
      </c>
      <c r="D260" s="92" t="str">
        <f>CONCATENATE(B260,"-",C260)</f>
        <v>&lt; 1920-střešní okna nová do roku 2007</v>
      </c>
      <c r="E260" s="93">
        <v>1.8</v>
      </c>
      <c r="F260">
        <v>1.5</v>
      </c>
      <c r="G260">
        <v>1.1000000000000001</v>
      </c>
    </row>
    <row r="261" spans="1:7">
      <c r="A261" s="78" t="s">
        <v>291</v>
      </c>
      <c r="B261" s="90" t="s">
        <v>19</v>
      </c>
      <c r="C261" s="91" t="s">
        <v>341</v>
      </c>
      <c r="D261" s="92" t="str">
        <f>CONCATENATE(B261,"-",C261)</f>
        <v>&lt; 1920-střešní okna nová po roce 2007</v>
      </c>
      <c r="E261" s="93">
        <v>1.5</v>
      </c>
      <c r="F261">
        <v>1.5</v>
      </c>
      <c r="G261">
        <v>1.1000000000000001</v>
      </c>
    </row>
    <row r="262" spans="1:7">
      <c r="A262" s="78" t="s">
        <v>291</v>
      </c>
      <c r="B262" s="90" t="s">
        <v>19</v>
      </c>
      <c r="C262" s="91" t="s">
        <v>327</v>
      </c>
      <c r="D262" s="92" t="str">
        <f>CONCATENATE(B262,"-",C262)</f>
        <v>&lt; 1920-střešní světlíky polykarbonát</v>
      </c>
      <c r="E262" s="93">
        <v>2.4</v>
      </c>
      <c r="F262">
        <v>1.5</v>
      </c>
      <c r="G262">
        <v>1.1000000000000001</v>
      </c>
    </row>
    <row r="263" spans="1:7">
      <c r="A263" s="78" t="s">
        <v>291</v>
      </c>
      <c r="B263" s="95" t="s">
        <v>20</v>
      </c>
      <c r="C263" s="91" t="s">
        <v>105</v>
      </c>
      <c r="D263" s="92" t="str">
        <f t="shared" si="9"/>
        <v>1921 až 1945-střešní okna dřevěná jednoduchá s 1 sklem</v>
      </c>
      <c r="E263" s="93">
        <v>4.5</v>
      </c>
      <c r="F263">
        <v>1.5</v>
      </c>
      <c r="G263">
        <v>1.1000000000000001</v>
      </c>
    </row>
    <row r="264" spans="1:7">
      <c r="A264" s="78" t="s">
        <v>291</v>
      </c>
      <c r="B264" s="95" t="s">
        <v>20</v>
      </c>
      <c r="C264" s="91" t="s">
        <v>35</v>
      </c>
      <c r="D264" s="92" t="str">
        <f t="shared" si="9"/>
        <v>1921 až 1945-střešní okna dřevěná jednoduchá s dvojsklem</v>
      </c>
      <c r="E264" s="93">
        <v>2</v>
      </c>
      <c r="F264">
        <v>1.5</v>
      </c>
      <c r="G264">
        <v>1.1000000000000001</v>
      </c>
    </row>
    <row r="265" spans="1:7">
      <c r="A265" s="78" t="s">
        <v>291</v>
      </c>
      <c r="B265" s="95" t="s">
        <v>20</v>
      </c>
      <c r="C265" s="91" t="s">
        <v>348</v>
      </c>
      <c r="D265" s="92" t="str">
        <f t="shared" si="9"/>
        <v>1921 až 1945-střešní svělíky kovové s 1 sklem</v>
      </c>
      <c r="E265" s="93">
        <v>5.65</v>
      </c>
      <c r="F265">
        <v>1.5</v>
      </c>
      <c r="G265">
        <v>1.1000000000000001</v>
      </c>
    </row>
    <row r="266" spans="1:7">
      <c r="A266" s="78" t="s">
        <v>291</v>
      </c>
      <c r="B266" s="95" t="s">
        <v>20</v>
      </c>
      <c r="C266" s="91" t="s">
        <v>340</v>
      </c>
      <c r="D266" s="92" t="str">
        <f t="shared" si="9"/>
        <v>1921 až 1945-střešní okna nová do roku 2007</v>
      </c>
      <c r="E266" s="93">
        <v>1.8</v>
      </c>
      <c r="F266">
        <v>1.5</v>
      </c>
      <c r="G266">
        <v>1.1000000000000001</v>
      </c>
    </row>
    <row r="267" spans="1:7">
      <c r="A267" s="78" t="s">
        <v>291</v>
      </c>
      <c r="B267" s="95" t="s">
        <v>20</v>
      </c>
      <c r="C267" s="91" t="s">
        <v>341</v>
      </c>
      <c r="D267" s="92" t="str">
        <f t="shared" si="9"/>
        <v>1921 až 1945-střešní okna nová po roce 2007</v>
      </c>
      <c r="E267" s="93">
        <v>1.5</v>
      </c>
      <c r="F267">
        <v>1.5</v>
      </c>
      <c r="G267">
        <v>1.1000000000000001</v>
      </c>
    </row>
    <row r="268" spans="1:7">
      <c r="A268" s="78" t="s">
        <v>291</v>
      </c>
      <c r="B268" s="95" t="s">
        <v>20</v>
      </c>
      <c r="C268" s="91" t="s">
        <v>327</v>
      </c>
      <c r="D268" s="92" t="str">
        <f t="shared" si="9"/>
        <v>1921 až 1945-střešní světlíky polykarbonát</v>
      </c>
      <c r="E268" s="93">
        <v>2.4</v>
      </c>
      <c r="F268">
        <v>1.5</v>
      </c>
      <c r="G268">
        <v>1.1000000000000001</v>
      </c>
    </row>
    <row r="269" spans="1:7">
      <c r="A269" s="78" t="s">
        <v>291</v>
      </c>
      <c r="B269" s="95" t="s">
        <v>21</v>
      </c>
      <c r="C269" s="91" t="s">
        <v>105</v>
      </c>
      <c r="D269" s="92" t="str">
        <f t="shared" si="9"/>
        <v>1946 až 1960-střešní okna dřevěná jednoduchá s 1 sklem</v>
      </c>
      <c r="E269" s="93">
        <v>4.5</v>
      </c>
      <c r="F269">
        <v>1.5</v>
      </c>
      <c r="G269">
        <v>1.1000000000000001</v>
      </c>
    </row>
    <row r="270" spans="1:7">
      <c r="A270" s="78" t="s">
        <v>291</v>
      </c>
      <c r="B270" s="95" t="s">
        <v>21</v>
      </c>
      <c r="C270" s="91" t="s">
        <v>35</v>
      </c>
      <c r="D270" s="92" t="str">
        <f t="shared" si="9"/>
        <v>1946 až 1960-střešní okna dřevěná jednoduchá s dvojsklem</v>
      </c>
      <c r="E270" s="93">
        <v>2</v>
      </c>
      <c r="F270">
        <v>1.5</v>
      </c>
      <c r="G270">
        <v>1.1000000000000001</v>
      </c>
    </row>
    <row r="271" spans="1:7">
      <c r="A271" s="78" t="s">
        <v>291</v>
      </c>
      <c r="B271" s="95" t="s">
        <v>21</v>
      </c>
      <c r="C271" s="91" t="s">
        <v>348</v>
      </c>
      <c r="D271" s="92" t="str">
        <f>CONCATENATE(B271,"-",C271)</f>
        <v>1946 až 1960-střešní svělíky kovové s 1 sklem</v>
      </c>
      <c r="E271" s="93">
        <v>5.65</v>
      </c>
      <c r="F271">
        <v>1.5</v>
      </c>
      <c r="G271">
        <v>1.1000000000000001</v>
      </c>
    </row>
    <row r="272" spans="1:7">
      <c r="A272" s="78" t="s">
        <v>291</v>
      </c>
      <c r="B272" s="95" t="s">
        <v>21</v>
      </c>
      <c r="C272" s="91" t="s">
        <v>340</v>
      </c>
      <c r="D272" s="92" t="str">
        <f>CONCATENATE(B272,"-",C272)</f>
        <v>1946 až 1960-střešní okna nová do roku 2007</v>
      </c>
      <c r="E272" s="93">
        <v>1.8</v>
      </c>
      <c r="F272">
        <v>1.5</v>
      </c>
      <c r="G272">
        <v>1.1000000000000001</v>
      </c>
    </row>
    <row r="273" spans="1:7">
      <c r="A273" s="78" t="s">
        <v>291</v>
      </c>
      <c r="B273" s="95" t="s">
        <v>21</v>
      </c>
      <c r="C273" s="91" t="s">
        <v>341</v>
      </c>
      <c r="D273" s="92" t="str">
        <f>CONCATENATE(B273,"-",C273)</f>
        <v>1946 až 1960-střešní okna nová po roce 2007</v>
      </c>
      <c r="E273" s="93">
        <v>1.5</v>
      </c>
      <c r="F273">
        <v>1.5</v>
      </c>
      <c r="G273">
        <v>1.1000000000000001</v>
      </c>
    </row>
    <row r="274" spans="1:7">
      <c r="A274" s="78" t="s">
        <v>291</v>
      </c>
      <c r="B274" s="95" t="s">
        <v>21</v>
      </c>
      <c r="C274" s="91" t="s">
        <v>327</v>
      </c>
      <c r="D274" s="92" t="str">
        <f>CONCATENATE(B274,"-",C274)</f>
        <v>1946 až 1960-střešní světlíky polykarbonát</v>
      </c>
      <c r="E274" s="93">
        <v>2.4</v>
      </c>
      <c r="F274">
        <v>1.5</v>
      </c>
      <c r="G274">
        <v>1.1000000000000001</v>
      </c>
    </row>
    <row r="275" spans="1:7">
      <c r="A275" s="78" t="s">
        <v>291</v>
      </c>
      <c r="B275" s="96" t="s">
        <v>22</v>
      </c>
      <c r="C275" s="91" t="s">
        <v>105</v>
      </c>
      <c r="D275" s="92" t="str">
        <f t="shared" si="9"/>
        <v>1961 až 1980-střešní okna dřevěná jednoduchá s 1 sklem</v>
      </c>
      <c r="E275" s="93">
        <v>4.5</v>
      </c>
      <c r="F275">
        <v>1.5</v>
      </c>
      <c r="G275">
        <v>1.1000000000000001</v>
      </c>
    </row>
    <row r="276" spans="1:7">
      <c r="A276" s="78" t="s">
        <v>291</v>
      </c>
      <c r="B276" s="96" t="s">
        <v>22</v>
      </c>
      <c r="C276" s="91" t="s">
        <v>35</v>
      </c>
      <c r="D276" s="92" t="str">
        <f t="shared" si="9"/>
        <v>1961 až 1980-střešní okna dřevěná jednoduchá s dvojsklem</v>
      </c>
      <c r="E276" s="93">
        <v>2</v>
      </c>
      <c r="F276">
        <v>1.5</v>
      </c>
      <c r="G276">
        <v>1.1000000000000001</v>
      </c>
    </row>
    <row r="277" spans="1:7">
      <c r="A277" s="78" t="s">
        <v>291</v>
      </c>
      <c r="B277" s="96" t="s">
        <v>22</v>
      </c>
      <c r="C277" s="91" t="s">
        <v>348</v>
      </c>
      <c r="D277" s="92" t="str">
        <f t="shared" si="9"/>
        <v>1961 až 1980-střešní svělíky kovové s 1 sklem</v>
      </c>
      <c r="E277" s="93">
        <v>5.65</v>
      </c>
      <c r="F277">
        <v>1.5</v>
      </c>
      <c r="G277">
        <v>1.1000000000000001</v>
      </c>
    </row>
    <row r="278" spans="1:7">
      <c r="A278" s="78" t="s">
        <v>291</v>
      </c>
      <c r="B278" s="96" t="s">
        <v>22</v>
      </c>
      <c r="C278" s="91" t="s">
        <v>340</v>
      </c>
      <c r="D278" s="92" t="str">
        <f t="shared" si="9"/>
        <v>1961 až 1980-střešní okna nová do roku 2007</v>
      </c>
      <c r="E278" s="93">
        <v>1.8</v>
      </c>
      <c r="F278">
        <v>1.5</v>
      </c>
      <c r="G278">
        <v>1.1000000000000001</v>
      </c>
    </row>
    <row r="279" spans="1:7">
      <c r="A279" s="78" t="s">
        <v>291</v>
      </c>
      <c r="B279" s="96" t="s">
        <v>22</v>
      </c>
      <c r="C279" s="91" t="s">
        <v>341</v>
      </c>
      <c r="D279" s="92" t="str">
        <f t="shared" si="9"/>
        <v>1961 až 1980-střešní okna nová po roce 2007</v>
      </c>
      <c r="E279" s="93">
        <v>1.5</v>
      </c>
      <c r="F279">
        <v>1.5</v>
      </c>
      <c r="G279">
        <v>1.1000000000000001</v>
      </c>
    </row>
    <row r="280" spans="1:7">
      <c r="A280" s="78" t="s">
        <v>291</v>
      </c>
      <c r="B280" s="96" t="s">
        <v>22</v>
      </c>
      <c r="C280" s="91" t="s">
        <v>327</v>
      </c>
      <c r="D280" s="92" t="str">
        <f t="shared" si="9"/>
        <v>1961 až 1980-střešní světlíky polykarbonát</v>
      </c>
      <c r="E280" s="93">
        <v>2.4</v>
      </c>
      <c r="F280">
        <v>1.5</v>
      </c>
      <c r="G280">
        <v>1.1000000000000001</v>
      </c>
    </row>
    <row r="281" spans="1:7">
      <c r="A281" s="78" t="s">
        <v>291</v>
      </c>
      <c r="B281" s="95" t="s">
        <v>23</v>
      </c>
      <c r="C281" s="91" t="s">
        <v>105</v>
      </c>
      <c r="D281" s="92" t="str">
        <f t="shared" si="9"/>
        <v>1981 až 1994-střešní okna dřevěná jednoduchá s 1 sklem</v>
      </c>
      <c r="E281" s="93">
        <v>4.5</v>
      </c>
      <c r="F281">
        <v>1.5</v>
      </c>
      <c r="G281">
        <v>1.1000000000000001</v>
      </c>
    </row>
    <row r="282" spans="1:7">
      <c r="A282" s="78" t="s">
        <v>291</v>
      </c>
      <c r="B282" s="95" t="s">
        <v>23</v>
      </c>
      <c r="C282" s="91" t="s">
        <v>35</v>
      </c>
      <c r="D282" s="92" t="str">
        <f t="shared" si="9"/>
        <v>1981 až 1994-střešní okna dřevěná jednoduchá s dvojsklem</v>
      </c>
      <c r="E282" s="93">
        <v>2</v>
      </c>
      <c r="F282">
        <v>1.5</v>
      </c>
      <c r="G282">
        <v>1.1000000000000001</v>
      </c>
    </row>
    <row r="283" spans="1:7">
      <c r="A283" s="78" t="s">
        <v>291</v>
      </c>
      <c r="B283" s="95" t="s">
        <v>23</v>
      </c>
      <c r="C283" s="91" t="s">
        <v>348</v>
      </c>
      <c r="D283" s="92" t="str">
        <f>CONCATENATE(B283,"-",C283)</f>
        <v>1981 až 1994-střešní svělíky kovové s 1 sklem</v>
      </c>
      <c r="E283" s="93">
        <v>5.65</v>
      </c>
      <c r="F283">
        <v>1.5</v>
      </c>
      <c r="G283">
        <v>1.1000000000000001</v>
      </c>
    </row>
    <row r="284" spans="1:7">
      <c r="A284" s="78" t="s">
        <v>291</v>
      </c>
      <c r="B284" s="95" t="s">
        <v>23</v>
      </c>
      <c r="C284" s="91" t="s">
        <v>340</v>
      </c>
      <c r="D284" s="92" t="str">
        <f>CONCATENATE(B284,"-",C284)</f>
        <v>1981 až 1994-střešní okna nová do roku 2007</v>
      </c>
      <c r="E284" s="93">
        <v>1.8</v>
      </c>
      <c r="F284">
        <v>1.5</v>
      </c>
      <c r="G284">
        <v>1.1000000000000001</v>
      </c>
    </row>
    <row r="285" spans="1:7">
      <c r="A285" s="78" t="s">
        <v>291</v>
      </c>
      <c r="B285" s="95" t="s">
        <v>23</v>
      </c>
      <c r="C285" s="91" t="s">
        <v>341</v>
      </c>
      <c r="D285" s="92" t="str">
        <f>CONCATENATE(B285,"-",C285)</f>
        <v>1981 až 1994-střešní okna nová po roce 2007</v>
      </c>
      <c r="E285" s="93">
        <v>1.5</v>
      </c>
      <c r="F285">
        <v>1.5</v>
      </c>
      <c r="G285">
        <v>1.1000000000000001</v>
      </c>
    </row>
    <row r="286" spans="1:7">
      <c r="A286" s="78" t="s">
        <v>291</v>
      </c>
      <c r="B286" s="95" t="s">
        <v>23</v>
      </c>
      <c r="C286" s="91" t="s">
        <v>327</v>
      </c>
      <c r="D286" s="92" t="str">
        <f>CONCATENATE(B286,"-",C286)</f>
        <v>1981 až 1994-střešní světlíky polykarbonát</v>
      </c>
      <c r="E286" s="93">
        <v>2.4</v>
      </c>
      <c r="F286">
        <v>1.5</v>
      </c>
      <c r="G286">
        <v>1.1000000000000001</v>
      </c>
    </row>
    <row r="287" spans="1:7">
      <c r="A287" s="78" t="s">
        <v>291</v>
      </c>
      <c r="B287" s="96" t="s">
        <v>24</v>
      </c>
      <c r="C287" s="91" t="s">
        <v>340</v>
      </c>
      <c r="D287" s="92" t="str">
        <f t="shared" si="9"/>
        <v>1995 a dále-střešní okna nová do roku 2007</v>
      </c>
      <c r="E287" s="93">
        <v>1.8</v>
      </c>
      <c r="F287">
        <v>1.5</v>
      </c>
      <c r="G287">
        <v>1.1000000000000001</v>
      </c>
    </row>
    <row r="288" spans="1:7">
      <c r="A288" s="78" t="s">
        <v>291</v>
      </c>
      <c r="B288" s="96" t="s">
        <v>24</v>
      </c>
      <c r="C288" s="91" t="s">
        <v>341</v>
      </c>
      <c r="D288" s="92" t="str">
        <f t="shared" ref="D288:D293" si="10">CONCATENATE(B288,"-",C288)</f>
        <v>1995 a dále-střešní okna nová po roce 2007</v>
      </c>
      <c r="E288" s="93">
        <v>1.5</v>
      </c>
      <c r="F288">
        <v>1.5</v>
      </c>
      <c r="G288">
        <v>1.1000000000000001</v>
      </c>
    </row>
    <row r="289" spans="1:7">
      <c r="A289" s="78" t="s">
        <v>291</v>
      </c>
      <c r="B289" s="96" t="s">
        <v>24</v>
      </c>
      <c r="C289" s="91" t="s">
        <v>327</v>
      </c>
      <c r="D289" s="92" t="str">
        <f t="shared" si="10"/>
        <v>1995 a dále-střešní světlíky polykarbonát</v>
      </c>
      <c r="E289" s="93">
        <v>2.4</v>
      </c>
      <c r="F289">
        <v>1.5</v>
      </c>
      <c r="G289">
        <v>1.1000000000000001</v>
      </c>
    </row>
    <row r="290" spans="1:7">
      <c r="A290" s="78" t="s">
        <v>349</v>
      </c>
      <c r="B290" s="82" t="s">
        <v>19</v>
      </c>
      <c r="C290" s="83" t="s">
        <v>350</v>
      </c>
      <c r="D290" s="84" t="str">
        <f t="shared" si="10"/>
        <v>&lt; 1920-podlaha na zemině nezateplená</v>
      </c>
      <c r="E290" s="88">
        <v>4</v>
      </c>
      <c r="F290">
        <v>0.45</v>
      </c>
      <c r="G290">
        <v>0.3</v>
      </c>
    </row>
    <row r="291" spans="1:7">
      <c r="A291" s="78" t="s">
        <v>349</v>
      </c>
      <c r="B291" s="82" t="s">
        <v>19</v>
      </c>
      <c r="C291" s="83" t="s">
        <v>351</v>
      </c>
      <c r="D291" s="84" t="str">
        <f t="shared" si="10"/>
        <v>&lt; 1920-podlaha na zemině zateplená</v>
      </c>
      <c r="E291" s="88">
        <f>1/1.15</f>
        <v>0.86956521739130443</v>
      </c>
      <c r="F291">
        <v>0.45</v>
      </c>
      <c r="G291">
        <v>0.3</v>
      </c>
    </row>
    <row r="292" spans="1:7">
      <c r="A292" s="78" t="s">
        <v>349</v>
      </c>
      <c r="B292" s="82" t="s">
        <v>20</v>
      </c>
      <c r="C292" s="83" t="s">
        <v>350</v>
      </c>
      <c r="D292" s="84" t="str">
        <f t="shared" si="10"/>
        <v>1921 až 1945-podlaha na zemině nezateplená</v>
      </c>
      <c r="E292" s="88">
        <v>4</v>
      </c>
      <c r="F292">
        <v>0.45</v>
      </c>
      <c r="G292">
        <v>0.3</v>
      </c>
    </row>
    <row r="293" spans="1:7">
      <c r="A293" s="78" t="s">
        <v>349</v>
      </c>
      <c r="B293" s="82" t="s">
        <v>20</v>
      </c>
      <c r="C293" s="83" t="s">
        <v>351</v>
      </c>
      <c r="D293" s="84" t="str">
        <f t="shared" si="10"/>
        <v>1921 až 1945-podlaha na zemině zateplená</v>
      </c>
      <c r="E293" s="88">
        <f>1/1.15</f>
        <v>0.86956521739130443</v>
      </c>
      <c r="F293">
        <v>0.45</v>
      </c>
      <c r="G293">
        <v>0.3</v>
      </c>
    </row>
    <row r="294" spans="1:7">
      <c r="A294" s="78" t="s">
        <v>349</v>
      </c>
      <c r="B294" s="82" t="s">
        <v>21</v>
      </c>
      <c r="C294" s="83" t="s">
        <v>350</v>
      </c>
      <c r="D294" s="84" t="str">
        <f t="shared" ref="D294:D304" si="11">CONCATENATE(B294,"-",C294)</f>
        <v>1946 až 1960-podlaha na zemině nezateplená</v>
      </c>
      <c r="E294" s="88">
        <v>4</v>
      </c>
      <c r="F294">
        <v>0.45</v>
      </c>
      <c r="G294">
        <v>0.3</v>
      </c>
    </row>
    <row r="295" spans="1:7">
      <c r="A295" s="78" t="s">
        <v>349</v>
      </c>
      <c r="B295" s="82" t="s">
        <v>21</v>
      </c>
      <c r="C295" s="83" t="s">
        <v>351</v>
      </c>
      <c r="D295" s="84" t="str">
        <f t="shared" si="11"/>
        <v>1946 až 1960-podlaha na zemině zateplená</v>
      </c>
      <c r="E295" s="88">
        <f>1/1.15</f>
        <v>0.86956521739130443</v>
      </c>
      <c r="F295">
        <v>0.45</v>
      </c>
      <c r="G295">
        <v>0.3</v>
      </c>
    </row>
    <row r="296" spans="1:7">
      <c r="A296" s="78" t="s">
        <v>349</v>
      </c>
      <c r="B296" s="85" t="s">
        <v>22</v>
      </c>
      <c r="C296" s="83" t="s">
        <v>350</v>
      </c>
      <c r="D296" s="84" t="str">
        <f t="shared" si="11"/>
        <v>1961 až 1980-podlaha na zemině nezateplená</v>
      </c>
      <c r="E296" s="88">
        <v>4</v>
      </c>
      <c r="F296">
        <v>0.45</v>
      </c>
      <c r="G296">
        <v>0.3</v>
      </c>
    </row>
    <row r="297" spans="1:7">
      <c r="A297" s="78" t="s">
        <v>349</v>
      </c>
      <c r="B297" s="85" t="s">
        <v>22</v>
      </c>
      <c r="C297" s="83" t="s">
        <v>351</v>
      </c>
      <c r="D297" s="84" t="str">
        <f t="shared" si="11"/>
        <v>1961 až 1980-podlaha na zemině zateplená</v>
      </c>
      <c r="E297" s="88">
        <f>1/1.15</f>
        <v>0.86956521739130443</v>
      </c>
      <c r="F297">
        <v>0.45</v>
      </c>
      <c r="G297">
        <v>0.3</v>
      </c>
    </row>
    <row r="298" spans="1:7">
      <c r="A298" s="78" t="s">
        <v>349</v>
      </c>
      <c r="B298" s="82" t="s">
        <v>23</v>
      </c>
      <c r="C298" s="83" t="s">
        <v>350</v>
      </c>
      <c r="D298" s="84" t="str">
        <f t="shared" si="11"/>
        <v>1981 až 1994-podlaha na zemině nezateplená</v>
      </c>
      <c r="E298" s="87">
        <v>4</v>
      </c>
      <c r="F298">
        <v>0.45</v>
      </c>
      <c r="G298">
        <v>0.3</v>
      </c>
    </row>
    <row r="299" spans="1:7">
      <c r="A299" s="78" t="s">
        <v>349</v>
      </c>
      <c r="B299" s="82" t="s">
        <v>23</v>
      </c>
      <c r="C299" s="83" t="s">
        <v>351</v>
      </c>
      <c r="D299" s="84" t="str">
        <f t="shared" si="11"/>
        <v>1981 až 1994-podlaha na zemině zateplená</v>
      </c>
      <c r="E299" s="87">
        <v>1</v>
      </c>
      <c r="F299">
        <v>0.45</v>
      </c>
      <c r="G299">
        <v>0.3</v>
      </c>
    </row>
    <row r="300" spans="1:7">
      <c r="A300" s="78" t="s">
        <v>349</v>
      </c>
      <c r="B300" s="82" t="s">
        <v>24</v>
      </c>
      <c r="C300" s="83" t="s">
        <v>350</v>
      </c>
      <c r="D300" s="84" t="str">
        <f t="shared" si="11"/>
        <v>1995 a dále-podlaha na zemině nezateplená</v>
      </c>
      <c r="E300" s="88">
        <v>4</v>
      </c>
      <c r="F300">
        <v>0.45</v>
      </c>
      <c r="G300">
        <v>0.3</v>
      </c>
    </row>
    <row r="301" spans="1:7">
      <c r="A301" s="78" t="s">
        <v>349</v>
      </c>
      <c r="B301" s="82" t="s">
        <v>24</v>
      </c>
      <c r="C301" s="83" t="s">
        <v>351</v>
      </c>
      <c r="D301" s="84" t="str">
        <f t="shared" si="11"/>
        <v>1995 a dále-podlaha na zemině zateplená</v>
      </c>
      <c r="E301" s="88">
        <f>1/1.15</f>
        <v>0.86956521739130443</v>
      </c>
      <c r="F301">
        <v>0.45</v>
      </c>
      <c r="G301">
        <v>0.3</v>
      </c>
    </row>
    <row r="302" spans="1:7">
      <c r="A302" s="78" t="s">
        <v>349</v>
      </c>
      <c r="B302" s="82" t="s">
        <v>24</v>
      </c>
      <c r="C302" s="83" t="s">
        <v>352</v>
      </c>
      <c r="D302" s="84" t="str">
        <f t="shared" si="11"/>
        <v>1995 a dále-podlaha na zemině po roce 2002 zateplená</v>
      </c>
      <c r="E302" s="88">
        <v>0.6</v>
      </c>
      <c r="F302">
        <v>0.45</v>
      </c>
      <c r="G302">
        <v>0.3</v>
      </c>
    </row>
    <row r="303" spans="1:7">
      <c r="A303" s="78" t="s">
        <v>349</v>
      </c>
      <c r="B303" s="82" t="s">
        <v>24</v>
      </c>
      <c r="C303" s="83" t="s">
        <v>353</v>
      </c>
      <c r="D303" s="84" t="str">
        <f t="shared" si="11"/>
        <v>1995 a dále-podlaha na zemině po roce 2007 zateplená</v>
      </c>
      <c r="E303" s="88">
        <v>0.45</v>
      </c>
      <c r="F303">
        <v>0.45</v>
      </c>
      <c r="G303">
        <v>0.3</v>
      </c>
    </row>
    <row r="304" spans="1:7">
      <c r="A304" s="78" t="s">
        <v>349</v>
      </c>
      <c r="B304" s="82" t="s">
        <v>24</v>
      </c>
      <c r="C304" s="83" t="s">
        <v>354</v>
      </c>
      <c r="D304" s="84" t="str">
        <f t="shared" si="11"/>
        <v>1995 a dále-podlaha na zemině po roce 2007 zateplená více</v>
      </c>
      <c r="E304" s="88">
        <v>0.3</v>
      </c>
      <c r="F304">
        <v>0.45</v>
      </c>
      <c r="G304">
        <v>0.3</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2:D59"/>
  <sheetViews>
    <sheetView workbookViewId="0">
      <selection activeCell="C63" sqref="C63"/>
    </sheetView>
  </sheetViews>
  <sheetFormatPr defaultColWidth="8.85546875" defaultRowHeight="12.75"/>
  <cols>
    <col min="1" max="1" width="24.28515625" style="78" customWidth="1"/>
    <col min="2" max="2" width="50.7109375" style="78" customWidth="1"/>
    <col min="3" max="3" width="14.7109375" style="78" customWidth="1"/>
    <col min="4" max="16384" width="8.85546875" style="78"/>
  </cols>
  <sheetData>
    <row r="2" spans="1:4">
      <c r="B2" s="69" t="s">
        <v>247</v>
      </c>
      <c r="C2" s="70" t="s">
        <v>75</v>
      </c>
      <c r="D2" s="70" t="s">
        <v>76</v>
      </c>
    </row>
    <row r="3" spans="1:4">
      <c r="A3" s="78" t="s">
        <v>246</v>
      </c>
      <c r="B3" s="71" t="s">
        <v>248</v>
      </c>
      <c r="C3" s="71">
        <v>4.2000000000000003E-2</v>
      </c>
      <c r="D3" s="71">
        <v>0.02</v>
      </c>
    </row>
    <row r="4" spans="1:4">
      <c r="A4" s="78" t="s">
        <v>246</v>
      </c>
      <c r="B4" s="72" t="s">
        <v>249</v>
      </c>
      <c r="C4" s="72">
        <v>0.04</v>
      </c>
      <c r="D4" s="72">
        <v>0.02</v>
      </c>
    </row>
    <row r="5" spans="1:4">
      <c r="A5" s="78" t="s">
        <v>246</v>
      </c>
      <c r="B5" s="72" t="s">
        <v>250</v>
      </c>
      <c r="C5" s="72">
        <v>3.4000000000000002E-2</v>
      </c>
      <c r="D5" s="72">
        <v>0.02</v>
      </c>
    </row>
    <row r="6" spans="1:4">
      <c r="A6" s="78" t="s">
        <v>246</v>
      </c>
      <c r="B6" s="72" t="s">
        <v>251</v>
      </c>
      <c r="C6" s="72">
        <v>3.5000000000000003E-2</v>
      </c>
      <c r="D6" s="72">
        <v>0.02</v>
      </c>
    </row>
    <row r="7" spans="1:4">
      <c r="A7" s="78" t="s">
        <v>246</v>
      </c>
      <c r="B7" s="72" t="s">
        <v>252</v>
      </c>
      <c r="C7" s="72">
        <v>2.3E-2</v>
      </c>
      <c r="D7" s="72">
        <v>0.02</v>
      </c>
    </row>
    <row r="8" spans="1:4">
      <c r="A8" s="78" t="s">
        <v>246</v>
      </c>
      <c r="B8" s="72" t="s">
        <v>452</v>
      </c>
      <c r="C8" s="72">
        <v>4.4999999999999998E-2</v>
      </c>
      <c r="D8" s="72">
        <v>0.02</v>
      </c>
    </row>
    <row r="9" spans="1:4">
      <c r="A9" s="78" t="s">
        <v>246</v>
      </c>
      <c r="B9" s="72" t="s">
        <v>253</v>
      </c>
      <c r="C9" s="72">
        <v>2.3E-2</v>
      </c>
      <c r="D9" s="72">
        <v>0.02</v>
      </c>
    </row>
    <row r="10" spans="1:4">
      <c r="A10" s="78" t="s">
        <v>246</v>
      </c>
      <c r="B10" s="72" t="s">
        <v>254</v>
      </c>
      <c r="C10" s="72">
        <v>4.2000000000000003E-2</v>
      </c>
      <c r="D10" s="72">
        <v>0.02</v>
      </c>
    </row>
    <row r="11" spans="1:4">
      <c r="A11" s="78" t="s">
        <v>246</v>
      </c>
      <c r="B11" s="72" t="s">
        <v>255</v>
      </c>
      <c r="C11" s="72">
        <v>4.2000000000000003E-2</v>
      </c>
      <c r="D11" s="72">
        <v>0.05</v>
      </c>
    </row>
    <row r="12" spans="1:4">
      <c r="A12" s="78" t="s">
        <v>246</v>
      </c>
      <c r="B12" s="72" t="s">
        <v>256</v>
      </c>
      <c r="C12" s="72">
        <v>3.9E-2</v>
      </c>
      <c r="D12" s="72">
        <v>0.05</v>
      </c>
    </row>
    <row r="13" spans="1:4">
      <c r="A13" s="78" t="s">
        <v>246</v>
      </c>
      <c r="B13" s="73" t="s">
        <v>257</v>
      </c>
      <c r="C13" s="73">
        <v>2.3E-2</v>
      </c>
      <c r="D13" s="73">
        <v>0.02</v>
      </c>
    </row>
    <row r="14" spans="1:4">
      <c r="A14" s="78" t="s">
        <v>54</v>
      </c>
      <c r="B14" s="71" t="s">
        <v>270</v>
      </c>
      <c r="C14" s="71">
        <v>0.04</v>
      </c>
      <c r="D14" s="71">
        <v>0.02</v>
      </c>
    </row>
    <row r="15" spans="1:4">
      <c r="A15" s="78" t="s">
        <v>54</v>
      </c>
      <c r="B15" s="72" t="s">
        <v>271</v>
      </c>
      <c r="C15" s="72">
        <v>3.9E-2</v>
      </c>
      <c r="D15" s="72">
        <v>0.02</v>
      </c>
    </row>
    <row r="16" spans="1:4">
      <c r="A16" s="78" t="s">
        <v>54</v>
      </c>
      <c r="B16" s="72" t="s">
        <v>272</v>
      </c>
      <c r="C16" s="72">
        <v>3.4000000000000002E-2</v>
      </c>
      <c r="D16" s="72">
        <v>0.02</v>
      </c>
    </row>
    <row r="17" spans="1:4">
      <c r="A17" s="78" t="s">
        <v>54</v>
      </c>
      <c r="B17" s="72" t="s">
        <v>273</v>
      </c>
      <c r="C17" s="72">
        <v>2.5000000000000001E-2</v>
      </c>
      <c r="D17" s="72">
        <v>0.02</v>
      </c>
    </row>
    <row r="18" spans="1:4">
      <c r="A18" s="78" t="s">
        <v>54</v>
      </c>
      <c r="B18" s="72" t="s">
        <v>274</v>
      </c>
      <c r="C18" s="72">
        <v>0.03</v>
      </c>
      <c r="D18" s="72">
        <v>0.02</v>
      </c>
    </row>
    <row r="19" spans="1:4">
      <c r="A19" s="78" t="s">
        <v>54</v>
      </c>
      <c r="B19" s="73" t="s">
        <v>275</v>
      </c>
      <c r="C19" s="73">
        <v>4.1000000000000002E-2</v>
      </c>
      <c r="D19" s="73">
        <v>0.02</v>
      </c>
    </row>
    <row r="20" spans="1:4">
      <c r="A20" s="78" t="s">
        <v>304</v>
      </c>
      <c r="B20" s="71" t="s">
        <v>276</v>
      </c>
      <c r="C20" s="71">
        <v>0.05</v>
      </c>
      <c r="D20" s="71">
        <v>0</v>
      </c>
    </row>
    <row r="21" spans="1:4">
      <c r="A21" s="78" t="s">
        <v>304</v>
      </c>
      <c r="B21" s="72" t="s">
        <v>277</v>
      </c>
      <c r="C21" s="72">
        <v>0.05</v>
      </c>
      <c r="D21" s="72">
        <v>0</v>
      </c>
    </row>
    <row r="22" spans="1:4">
      <c r="A22" s="78" t="s">
        <v>304</v>
      </c>
      <c r="B22" s="72" t="s">
        <v>278</v>
      </c>
      <c r="C22" s="72">
        <v>2.5000000000000001E-2</v>
      </c>
      <c r="D22" s="72">
        <v>0.02</v>
      </c>
    </row>
    <row r="23" spans="1:4">
      <c r="A23" s="78" t="s">
        <v>304</v>
      </c>
      <c r="B23" s="73" t="s">
        <v>279</v>
      </c>
      <c r="C23" s="73">
        <v>3.5000000000000003E-2</v>
      </c>
      <c r="D23" s="73">
        <v>0.02</v>
      </c>
    </row>
    <row r="24" spans="1:4">
      <c r="A24" s="78" t="s">
        <v>260</v>
      </c>
      <c r="B24" s="76" t="s">
        <v>263</v>
      </c>
      <c r="C24" s="76">
        <v>0.04</v>
      </c>
      <c r="D24" s="76">
        <v>0.02</v>
      </c>
    </row>
    <row r="25" spans="1:4">
      <c r="A25" s="78" t="s">
        <v>260</v>
      </c>
      <c r="B25" s="76" t="s">
        <v>264</v>
      </c>
      <c r="C25" s="76">
        <v>3.9E-2</v>
      </c>
      <c r="D25" s="76">
        <v>0.02</v>
      </c>
    </row>
    <row r="26" spans="1:4">
      <c r="A26" s="78" t="s">
        <v>260</v>
      </c>
      <c r="B26" s="76" t="s">
        <v>265</v>
      </c>
      <c r="C26" s="76">
        <v>0.05</v>
      </c>
      <c r="D26" s="76">
        <v>0.02</v>
      </c>
    </row>
    <row r="27" spans="1:4">
      <c r="A27" s="78" t="s">
        <v>260</v>
      </c>
      <c r="B27" s="76" t="s">
        <v>266</v>
      </c>
      <c r="C27" s="76">
        <v>4.5999999999999999E-2</v>
      </c>
      <c r="D27" s="76">
        <v>0.02</v>
      </c>
    </row>
    <row r="28" spans="1:4" ht="15">
      <c r="A28" t="s">
        <v>383</v>
      </c>
      <c r="B28" s="75" t="s">
        <v>267</v>
      </c>
      <c r="C28" s="75">
        <v>0.04</v>
      </c>
      <c r="D28" s="75">
        <v>0.05</v>
      </c>
    </row>
    <row r="29" spans="1:4" ht="15">
      <c r="A29" t="s">
        <v>383</v>
      </c>
      <c r="B29" s="76" t="s">
        <v>268</v>
      </c>
      <c r="C29" s="76">
        <v>3.9E-2</v>
      </c>
      <c r="D29" s="76">
        <v>0.05</v>
      </c>
    </row>
    <row r="30" spans="1:4" ht="15">
      <c r="A30" t="s">
        <v>383</v>
      </c>
      <c r="B30" s="76" t="s">
        <v>269</v>
      </c>
      <c r="C30" s="76">
        <v>3.4000000000000002E-2</v>
      </c>
      <c r="D30" s="76">
        <v>0.05</v>
      </c>
    </row>
    <row r="31" spans="1:4" ht="15">
      <c r="A31" t="s">
        <v>383</v>
      </c>
      <c r="B31" s="76" t="s">
        <v>280</v>
      </c>
      <c r="C31" s="76">
        <v>2.5000000000000001E-2</v>
      </c>
      <c r="D31" s="76">
        <v>0.05</v>
      </c>
    </row>
    <row r="32" spans="1:4" ht="15">
      <c r="A32" t="s">
        <v>383</v>
      </c>
      <c r="B32" s="76" t="s">
        <v>281</v>
      </c>
      <c r="C32" s="76">
        <v>3.4000000000000002E-2</v>
      </c>
      <c r="D32" s="76">
        <v>0.05</v>
      </c>
    </row>
    <row r="33" spans="1:4" ht="15">
      <c r="A33" t="s">
        <v>383</v>
      </c>
      <c r="B33" s="76" t="s">
        <v>282</v>
      </c>
      <c r="C33" s="76">
        <v>3.9E-2</v>
      </c>
      <c r="D33" s="76">
        <v>0.05</v>
      </c>
    </row>
    <row r="34" spans="1:4" ht="15">
      <c r="A34" t="s">
        <v>383</v>
      </c>
      <c r="B34" s="73" t="s">
        <v>452</v>
      </c>
      <c r="C34" s="73">
        <v>4.4999999999999998E-2</v>
      </c>
      <c r="D34" s="73">
        <v>0.05</v>
      </c>
    </row>
    <row r="35" spans="1:4" ht="15">
      <c r="A35" t="s">
        <v>349</v>
      </c>
      <c r="B35" s="110" t="s">
        <v>385</v>
      </c>
      <c r="C35" s="110">
        <v>4.3999999999999997E-2</v>
      </c>
      <c r="D35" s="110">
        <v>0.02</v>
      </c>
    </row>
    <row r="36" spans="1:4" ht="15">
      <c r="A36" t="s">
        <v>349</v>
      </c>
      <c r="B36" s="72" t="s">
        <v>386</v>
      </c>
      <c r="C36" s="72">
        <v>3.3000000000000002E-2</v>
      </c>
      <c r="D36" s="72">
        <v>0.02</v>
      </c>
    </row>
    <row r="37" spans="1:4" ht="15">
      <c r="A37" t="s">
        <v>349</v>
      </c>
      <c r="B37" s="72" t="s">
        <v>387</v>
      </c>
      <c r="C37" s="72">
        <v>3.2000000000000001E-2</v>
      </c>
      <c r="D37" s="72">
        <v>0.02</v>
      </c>
    </row>
    <row r="38" spans="1:4" ht="15">
      <c r="A38" t="s">
        <v>349</v>
      </c>
      <c r="B38" s="73" t="s">
        <v>384</v>
      </c>
      <c r="C38" s="73">
        <v>4.8000000000000001E-2</v>
      </c>
      <c r="D38" s="73">
        <v>0.02</v>
      </c>
    </row>
    <row r="39" spans="1:4">
      <c r="A39" s="78" t="s">
        <v>285</v>
      </c>
      <c r="B39" s="76" t="s">
        <v>283</v>
      </c>
    </row>
    <row r="40" spans="1:4">
      <c r="A40" s="78" t="s">
        <v>285</v>
      </c>
      <c r="B40" s="76" t="s">
        <v>97</v>
      </c>
    </row>
    <row r="41" spans="1:4">
      <c r="A41" s="78" t="s">
        <v>285</v>
      </c>
      <c r="B41" s="76" t="s">
        <v>42</v>
      </c>
    </row>
    <row r="42" spans="1:4">
      <c r="A42" s="78" t="s">
        <v>285</v>
      </c>
      <c r="B42" s="76" t="s">
        <v>390</v>
      </c>
    </row>
    <row r="43" spans="1:4">
      <c r="A43" s="78" t="s">
        <v>285</v>
      </c>
      <c r="B43" s="76" t="s">
        <v>391</v>
      </c>
    </row>
    <row r="44" spans="1:4">
      <c r="A44" s="78" t="s">
        <v>285</v>
      </c>
      <c r="B44" s="76" t="s">
        <v>98</v>
      </c>
    </row>
    <row r="45" spans="1:4">
      <c r="A45" s="78" t="s">
        <v>285</v>
      </c>
      <c r="B45" s="76" t="s">
        <v>284</v>
      </c>
    </row>
    <row r="46" spans="1:4">
      <c r="A46" s="78" t="s">
        <v>285</v>
      </c>
      <c r="B46" s="76" t="s">
        <v>99</v>
      </c>
    </row>
    <row r="47" spans="1:4">
      <c r="A47" s="78" t="s">
        <v>285</v>
      </c>
      <c r="B47" s="76" t="s">
        <v>388</v>
      </c>
    </row>
    <row r="48" spans="1:4">
      <c r="A48" s="78" t="s">
        <v>285</v>
      </c>
      <c r="B48" s="77" t="s">
        <v>389</v>
      </c>
    </row>
    <row r="49" spans="1:2">
      <c r="A49" s="78" t="s">
        <v>289</v>
      </c>
      <c r="B49" s="109" t="s">
        <v>286</v>
      </c>
    </row>
    <row r="50" spans="1:2">
      <c r="A50" s="78" t="s">
        <v>289</v>
      </c>
      <c r="B50" s="76" t="s">
        <v>287</v>
      </c>
    </row>
    <row r="51" spans="1:2">
      <c r="A51" s="78" t="s">
        <v>289</v>
      </c>
      <c r="B51" s="76" t="s">
        <v>288</v>
      </c>
    </row>
    <row r="52" spans="1:2">
      <c r="A52" s="78" t="s">
        <v>289</v>
      </c>
      <c r="B52" s="77" t="s">
        <v>420</v>
      </c>
    </row>
    <row r="53" spans="1:2">
      <c r="A53" s="78" t="s">
        <v>291</v>
      </c>
      <c r="B53" s="109" t="s">
        <v>283</v>
      </c>
    </row>
    <row r="54" spans="1:2">
      <c r="A54" s="78" t="s">
        <v>291</v>
      </c>
      <c r="B54" s="76" t="s">
        <v>97</v>
      </c>
    </row>
    <row r="55" spans="1:2">
      <c r="A55" s="78" t="s">
        <v>291</v>
      </c>
      <c r="B55" s="76" t="s">
        <v>42</v>
      </c>
    </row>
    <row r="56" spans="1:2">
      <c r="A56" s="78" t="s">
        <v>291</v>
      </c>
      <c r="B56" s="76" t="s">
        <v>284</v>
      </c>
    </row>
    <row r="57" spans="1:2">
      <c r="A57" s="78" t="s">
        <v>291</v>
      </c>
      <c r="B57" s="76" t="s">
        <v>98</v>
      </c>
    </row>
    <row r="58" spans="1:2">
      <c r="A58" s="78" t="s">
        <v>291</v>
      </c>
      <c r="B58" s="76" t="s">
        <v>99</v>
      </c>
    </row>
    <row r="59" spans="1:2">
      <c r="A59" s="78" t="s">
        <v>291</v>
      </c>
      <c r="B59" s="77" t="s">
        <v>290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G34"/>
  <sheetViews>
    <sheetView zoomScale="94" zoomScaleNormal="70" workbookViewId="0">
      <selection activeCell="J3" sqref="J3"/>
    </sheetView>
  </sheetViews>
  <sheetFormatPr defaultRowHeight="15"/>
  <cols>
    <col min="2" max="2" width="0" hidden="1" customWidth="1"/>
    <col min="3" max="3" width="44.140625" customWidth="1"/>
    <col min="5" max="5" width="18" bestFit="1" customWidth="1"/>
    <col min="9" max="9" width="64.5703125" bestFit="1" customWidth="1"/>
    <col min="10" max="10" width="51.5703125" customWidth="1"/>
    <col min="14" max="14" width="28.28515625" bestFit="1" customWidth="1"/>
    <col min="18" max="18" width="10.7109375" customWidth="1"/>
    <col min="19" max="19" width="10.28515625" customWidth="1"/>
    <col min="20" max="20" width="11.28515625" customWidth="1"/>
    <col min="21" max="22" width="11.7109375" customWidth="1"/>
    <col min="24" max="24" width="12.28515625" customWidth="1"/>
    <col min="25" max="25" width="13.85546875" customWidth="1"/>
    <col min="26" max="26" width="13.7109375" customWidth="1"/>
    <col min="27" max="27" width="13.42578125" customWidth="1"/>
    <col min="33" max="33" width="16" bestFit="1" customWidth="1"/>
  </cols>
  <sheetData>
    <row r="1" spans="1:33">
      <c r="E1" s="163" t="s">
        <v>621</v>
      </c>
      <c r="F1" s="163"/>
      <c r="G1" s="163"/>
      <c r="H1" s="163"/>
      <c r="I1" s="166"/>
      <c r="J1" s="166"/>
      <c r="K1" t="s">
        <v>523</v>
      </c>
      <c r="L1" t="s">
        <v>523</v>
      </c>
      <c r="M1" t="s">
        <v>523</v>
      </c>
      <c r="N1" t="s">
        <v>523</v>
      </c>
      <c r="O1" t="s">
        <v>523</v>
      </c>
      <c r="P1" t="s">
        <v>527</v>
      </c>
      <c r="Q1" t="s">
        <v>527</v>
      </c>
      <c r="R1" t="s">
        <v>527</v>
      </c>
      <c r="S1" t="s">
        <v>527</v>
      </c>
      <c r="T1" t="s">
        <v>527</v>
      </c>
      <c r="U1" t="s">
        <v>527</v>
      </c>
      <c r="V1" t="s">
        <v>527</v>
      </c>
      <c r="W1" t="s">
        <v>527</v>
      </c>
      <c r="X1" t="s">
        <v>527</v>
      </c>
      <c r="Y1" t="s">
        <v>527</v>
      </c>
      <c r="Z1" t="s">
        <v>527</v>
      </c>
      <c r="AA1" t="s">
        <v>527</v>
      </c>
      <c r="AB1" t="s">
        <v>527</v>
      </c>
      <c r="AC1" t="s">
        <v>527</v>
      </c>
      <c r="AD1" t="s">
        <v>527</v>
      </c>
      <c r="AE1" t="s">
        <v>530</v>
      </c>
      <c r="AF1" t="s">
        <v>530</v>
      </c>
      <c r="AG1" t="s">
        <v>530</v>
      </c>
    </row>
    <row r="2" spans="1:33" s="159" customFormat="1" ht="105">
      <c r="B2" s="159" t="s">
        <v>515</v>
      </c>
      <c r="C2" s="159" t="s">
        <v>505</v>
      </c>
      <c r="D2" s="159" t="s">
        <v>119</v>
      </c>
      <c r="E2" s="164"/>
      <c r="F2" s="163">
        <v>0</v>
      </c>
      <c r="G2" s="164"/>
      <c r="H2" s="164"/>
      <c r="I2" s="167" t="s">
        <v>634</v>
      </c>
      <c r="J2" s="167" t="s">
        <v>635</v>
      </c>
      <c r="K2" s="159" t="s">
        <v>506</v>
      </c>
      <c r="L2" s="159" t="s">
        <v>624</v>
      </c>
      <c r="M2" s="159" t="s">
        <v>494</v>
      </c>
      <c r="N2" s="159" t="s">
        <v>401</v>
      </c>
      <c r="O2" s="159" t="s">
        <v>522</v>
      </c>
      <c r="P2" s="159" t="s">
        <v>238</v>
      </c>
      <c r="Q2" s="159" t="s">
        <v>189</v>
      </c>
      <c r="R2" s="159" t="s">
        <v>396</v>
      </c>
      <c r="S2" s="159" t="s">
        <v>463</v>
      </c>
      <c r="T2" s="159" t="s">
        <v>431</v>
      </c>
      <c r="U2" s="159" t="s">
        <v>454</v>
      </c>
      <c r="V2" s="159" t="s">
        <v>245</v>
      </c>
      <c r="W2" s="159" t="s">
        <v>39</v>
      </c>
      <c r="X2" s="159" t="s">
        <v>586</v>
      </c>
      <c r="Y2" s="159" t="s">
        <v>587</v>
      </c>
      <c r="Z2" s="159" t="s">
        <v>454</v>
      </c>
      <c r="AA2" s="159" t="s">
        <v>245</v>
      </c>
      <c r="AB2" s="159" t="s">
        <v>525</v>
      </c>
      <c r="AC2" s="159" t="s">
        <v>526</v>
      </c>
      <c r="AD2" s="159" t="s">
        <v>625</v>
      </c>
      <c r="AE2" s="159" t="s">
        <v>132</v>
      </c>
      <c r="AF2" s="159" t="s">
        <v>528</v>
      </c>
      <c r="AG2" s="159" t="s">
        <v>529</v>
      </c>
    </row>
    <row r="3" spans="1:33">
      <c r="A3">
        <v>1</v>
      </c>
      <c r="B3" t="s">
        <v>171</v>
      </c>
      <c r="C3" t="s">
        <v>508</v>
      </c>
      <c r="D3" t="str">
        <f>IF(ISBLANK(Kotel!E16),"ne","ano")</f>
        <v>ne</v>
      </c>
      <c r="E3" s="163">
        <f>IF(D3="ano",1,0)</f>
        <v>0</v>
      </c>
      <c r="F3" s="163">
        <f>F2+E3</f>
        <v>0</v>
      </c>
      <c r="G3" s="163">
        <f>IF(F2=F3,0,F3)</f>
        <v>0</v>
      </c>
      <c r="H3" s="163">
        <f>IFERROR(MATCH($A3,$G$3:$G$16,0),0)</f>
        <v>0</v>
      </c>
      <c r="I3" s="167" t="e">
        <f>IF(K3="tepelné cerpadlo",CONCATENATE(K3,", výkon: ",L3," kW"," COP: ",M3),CONCATENATE(K3,", výkon: ",L3," kW"," účinnost: ",M3*100,"%"))</f>
        <v>#N/A</v>
      </c>
      <c r="J3" s="166" t="str">
        <f>IF(OR(AND(D3="ano",K3=0),N3="Nejsou vyplněna všechna data"),"Doplňte údaje na listu kotel",IF(N3="Nově instalovaný zdroj splňuje požadavek na účinnost dle vyhl. 264/2020 Sb.","Opatření splňuje požadavek programu","Opatření NESPLŇUJE požadavek programu"))</f>
        <v>Opatření splňuje požadavek programu</v>
      </c>
      <c r="K3">
        <f>Kotel!E13</f>
        <v>0</v>
      </c>
      <c r="L3">
        <f>Kotel!E16</f>
        <v>0</v>
      </c>
      <c r="M3" s="165" t="e">
        <f>parametry!G76</f>
        <v>#N/A</v>
      </c>
      <c r="N3" s="165" t="str">
        <f>Kotel!C26</f>
        <v>Nově instalovaný zdroj splňuje požadavek na účinnost dle vyhl. 264/2020 Sb.</v>
      </c>
    </row>
    <row r="4" spans="1:33">
      <c r="A4">
        <v>2</v>
      </c>
      <c r="B4" t="s">
        <v>169</v>
      </c>
      <c r="C4" t="s">
        <v>509</v>
      </c>
      <c r="D4" t="str">
        <f>IF(parametry!B110=TRUE,Zateplení!F58,"ne")</f>
        <v>ne</v>
      </c>
      <c r="E4" s="163">
        <f t="shared" ref="E4:E16" si="0">IF(D4="ano",1,0)</f>
        <v>0</v>
      </c>
      <c r="F4" s="163">
        <f t="shared" ref="F4:F15" si="1">F3+E4</f>
        <v>0</v>
      </c>
      <c r="G4" s="163">
        <f t="shared" ref="G4:G15" si="2">IF(F3=F4,0,F4)</f>
        <v>0</v>
      </c>
      <c r="H4" s="163">
        <f t="shared" ref="H4:H16" si="3">IFERROR(MATCH($A4,$G$3:$G$16,0),0)</f>
        <v>0</v>
      </c>
      <c r="I4" s="167" t="str">
        <f>CONCATENATE(P4,", tloušťka TI: ",Q4," mm, plocha zateplované konstrukce: ",R4," m2")</f>
        <v>0, tloušťka TI: 0 mm, plocha zateplované konstrukce: 0 m2</v>
      </c>
      <c r="J4" s="166" t="str">
        <f>IF(V4="Konstrukce nesplňuje požadavky programu","Opatření NESPLŇUJE požadavek programu","Opatření splňuje požadavek programu")</f>
        <v>Opatření splňuje požadavek programu</v>
      </c>
      <c r="P4">
        <f>Zateplení!F59</f>
        <v>0</v>
      </c>
      <c r="Q4">
        <f>Zateplení!F60</f>
        <v>0</v>
      </c>
      <c r="R4" s="146">
        <f>Zateplení!F61</f>
        <v>0</v>
      </c>
      <c r="S4">
        <f>Zateplení!F62</f>
        <v>0</v>
      </c>
      <c r="T4" s="187" t="str">
        <f>Zateplení!F63</f>
        <v/>
      </c>
      <c r="U4" t="str">
        <f>Zateplení!F64</f>
        <v/>
      </c>
      <c r="V4" t="str">
        <f>Zateplení!F65</f>
        <v/>
      </c>
    </row>
    <row r="5" spans="1:33">
      <c r="A5">
        <v>3</v>
      </c>
      <c r="B5" t="s">
        <v>169</v>
      </c>
      <c r="C5" t="s">
        <v>510</v>
      </c>
      <c r="D5" t="str">
        <f>IF(parametry!B110=TRUE,Zateplení!F66,"ne")</f>
        <v>ne</v>
      </c>
      <c r="E5" s="163">
        <f t="shared" si="0"/>
        <v>0</v>
      </c>
      <c r="F5" s="163">
        <f t="shared" si="1"/>
        <v>0</v>
      </c>
      <c r="G5" s="163">
        <f t="shared" si="2"/>
        <v>0</v>
      </c>
      <c r="H5" s="163">
        <f t="shared" si="3"/>
        <v>0</v>
      </c>
      <c r="I5" s="167" t="str">
        <f>CONCATENATE(P5,", tloušťka TI: ",Q5," mm, plocha zateplované konstrukce: ",R5," m2")</f>
        <v>0, tloušťka TI: 0 mm, plocha zateplované konstrukce: 0 m2</v>
      </c>
      <c r="J5" s="166" t="str">
        <f>IF(V5="Konstrukce nesplňuje požadavky programu","Opatření NESPLŇUJE požadavek programu","Opatření splňuje požadavek programu")</f>
        <v>Opatření splňuje požadavek programu</v>
      </c>
      <c r="P5">
        <f>Zateplení!F67</f>
        <v>0</v>
      </c>
      <c r="Q5">
        <f>Zateplení!F68</f>
        <v>0</v>
      </c>
      <c r="R5" s="146">
        <f>Zateplení!F69</f>
        <v>0</v>
      </c>
      <c r="S5">
        <f>Zateplení!F70</f>
        <v>0</v>
      </c>
      <c r="T5" s="187" t="str">
        <f>Zateplení!F71</f>
        <v/>
      </c>
      <c r="U5" t="str">
        <f>Zateplení!F72</f>
        <v/>
      </c>
      <c r="V5" t="str">
        <f>Zateplení!F73</f>
        <v/>
      </c>
    </row>
    <row r="6" spans="1:33">
      <c r="A6">
        <v>4</v>
      </c>
      <c r="B6" t="s">
        <v>169</v>
      </c>
      <c r="C6" t="s">
        <v>511</v>
      </c>
      <c r="D6" t="str">
        <f>IF(parametry!B110=TRUE,Zateplení!F74,"ne")</f>
        <v>ne</v>
      </c>
      <c r="E6" s="163">
        <f t="shared" si="0"/>
        <v>0</v>
      </c>
      <c r="F6" s="163">
        <f t="shared" si="1"/>
        <v>0</v>
      </c>
      <c r="G6" s="163">
        <f t="shared" si="2"/>
        <v>0</v>
      </c>
      <c r="H6" s="163">
        <f t="shared" si="3"/>
        <v>0</v>
      </c>
      <c r="I6" s="167" t="str">
        <f>CONCATENATE(P6,", tloušťka TI: ",Q6," mm, plocha zateplované konstrukce: ",R6," m2")</f>
        <v>0, tloušťka TI: 0 mm, plocha zateplované konstrukce: 0 m2</v>
      </c>
      <c r="J6" s="166" t="str">
        <f>IF(V6="Konstrukce nesplňuje požadavky programu","Opatření NESPLŇUJE požadavek programu","Opatření splňuje požadavek programu")</f>
        <v>Opatření splňuje požadavek programu</v>
      </c>
      <c r="P6">
        <f>Zateplení!F75</f>
        <v>0</v>
      </c>
      <c r="Q6">
        <f>Zateplení!F76</f>
        <v>0</v>
      </c>
      <c r="R6" s="146">
        <f>Zateplení!F77</f>
        <v>0</v>
      </c>
      <c r="S6">
        <f>Zateplení!F70</f>
        <v>0</v>
      </c>
      <c r="T6" s="187" t="str">
        <f>Zateplení!F71</f>
        <v/>
      </c>
      <c r="U6" t="str">
        <f>Zateplení!F72</f>
        <v/>
      </c>
      <c r="V6" t="str">
        <f>Zateplení!F81</f>
        <v/>
      </c>
    </row>
    <row r="7" spans="1:33" ht="30">
      <c r="A7">
        <v>5</v>
      </c>
      <c r="B7" t="s">
        <v>169</v>
      </c>
      <c r="C7" t="s">
        <v>507</v>
      </c>
      <c r="D7" t="str">
        <f>IF(parametry!B110=TRUE,Zateplení!F82,"ne")</f>
        <v>ne</v>
      </c>
      <c r="E7" s="163">
        <f t="shared" si="0"/>
        <v>0</v>
      </c>
      <c r="F7" s="163">
        <f t="shared" si="1"/>
        <v>0</v>
      </c>
      <c r="G7" s="163">
        <f t="shared" si="2"/>
        <v>0</v>
      </c>
      <c r="H7" s="163">
        <f t="shared" si="3"/>
        <v>0</v>
      </c>
      <c r="I7" s="167" t="str">
        <f>CONCATENATE(,W7,", plocha vyměňovaných výplní: ",X7," m2, součinitel prostupu tepla: ",Y7," W/(m2.K)")</f>
        <v>0, plocha vyměňovaných výplní: 0 m2, součinitel prostupu tepla: 0 W/(m2.K)</v>
      </c>
      <c r="J7" s="166" t="str">
        <f>IF(AA7="Konstrukce nesplňuje požadavky programu","Opatření NESPLŇUJE požadavek programu","Opatření splňuje požadavek programu")</f>
        <v>Opatření splňuje požadavek programu</v>
      </c>
      <c r="W7">
        <f>Zateplení!F83</f>
        <v>0</v>
      </c>
      <c r="X7" s="146">
        <f>Zateplení!F84</f>
        <v>0</v>
      </c>
      <c r="Y7">
        <f>Zateplení!F85</f>
        <v>0</v>
      </c>
      <c r="Z7" s="168" t="str">
        <f>Zateplení!F86</f>
        <v/>
      </c>
      <c r="AA7" t="str">
        <f>Zateplení!F87</f>
        <v/>
      </c>
    </row>
    <row r="8" spans="1:33" ht="30">
      <c r="A8">
        <v>6</v>
      </c>
      <c r="B8" t="s">
        <v>169</v>
      </c>
      <c r="C8" t="s">
        <v>512</v>
      </c>
      <c r="D8" t="str">
        <f>IF(parametry!B110=TRUE,Zateplení!F88,"ne")</f>
        <v>ne</v>
      </c>
      <c r="E8" s="163">
        <f t="shared" si="0"/>
        <v>0</v>
      </c>
      <c r="F8" s="163">
        <f t="shared" si="1"/>
        <v>0</v>
      </c>
      <c r="G8" s="163">
        <f t="shared" si="2"/>
        <v>0</v>
      </c>
      <c r="H8" s="163">
        <f t="shared" si="3"/>
        <v>0</v>
      </c>
      <c r="I8" s="167" t="str">
        <f>CONCATENATE(,W8,", plocha vyměňovaných výplní: ",X8," m2, součinitel prostupu tepla: ",Y8," W/(m2.K)")</f>
        <v>0, plocha vyměňovaných výplní: 0 m2, součinitel prostupu tepla: 0 W/(m2.K)</v>
      </c>
      <c r="J8" s="166" t="str">
        <f>IF(AA8="Konstrukce nesplňuje požadavky programu","Opatření NESPLŇUJE požadavek programu","Opatření splňuje požadavek programu")</f>
        <v>Opatření splňuje požadavek programu</v>
      </c>
      <c r="W8">
        <f>Zateplení!F89</f>
        <v>0</v>
      </c>
      <c r="X8" s="146">
        <f>Zateplení!F90</f>
        <v>0</v>
      </c>
      <c r="Y8">
        <f>Zateplení!F91</f>
        <v>0</v>
      </c>
      <c r="Z8" s="168" t="str">
        <f>Zateplení!F92</f>
        <v/>
      </c>
      <c r="AA8" t="str">
        <f>Zateplení!F93</f>
        <v/>
      </c>
    </row>
    <row r="9" spans="1:33" ht="30">
      <c r="A9">
        <v>7</v>
      </c>
      <c r="B9" t="s">
        <v>169</v>
      </c>
      <c r="C9" t="s">
        <v>513</v>
      </c>
      <c r="D9" t="str">
        <f>IF(parametry!B110=TRUE,Zateplení!F94,"ne")</f>
        <v>ne</v>
      </c>
      <c r="E9" s="163">
        <f t="shared" si="0"/>
        <v>0</v>
      </c>
      <c r="F9" s="163">
        <f t="shared" si="1"/>
        <v>0</v>
      </c>
      <c r="G9" s="163">
        <f t="shared" si="2"/>
        <v>0</v>
      </c>
      <c r="H9" s="163">
        <f t="shared" si="3"/>
        <v>0</v>
      </c>
      <c r="I9" s="167" t="str">
        <f>CONCATENATE(,W9,", plocha vyměňovaných výplní: ",X9," m2, součinitel prostupu tepla: ",Y9," W/(m2.K)")</f>
        <v>0, plocha vyměňovaných výplní: 0 m2, součinitel prostupu tepla: 0 W/(m2.K)</v>
      </c>
      <c r="J9" s="166" t="str">
        <f>IF(AA9="Konstrukce nesplňuje požadavky programu","Opatření NESPLŇUJE požadavek programu","Opatření splňuje požadavek programu")</f>
        <v>Opatření splňuje požadavek programu</v>
      </c>
      <c r="W9">
        <f>Zateplení!F95</f>
        <v>0</v>
      </c>
      <c r="X9" s="146">
        <f>Zateplení!F96</f>
        <v>0</v>
      </c>
      <c r="Y9">
        <f>Zateplení!F97</f>
        <v>0</v>
      </c>
      <c r="Z9" s="168" t="str">
        <f>Zateplení!F98</f>
        <v/>
      </c>
      <c r="AA9" t="str">
        <f>Zateplení!F99</f>
        <v/>
      </c>
    </row>
    <row r="10" spans="1:33">
      <c r="A10">
        <v>8</v>
      </c>
      <c r="B10" t="s">
        <v>169</v>
      </c>
      <c r="C10" t="s">
        <v>514</v>
      </c>
      <c r="D10" t="str">
        <f>IF(parametry!B110=TRUE,Zateplení!F100,"ne")</f>
        <v>ne</v>
      </c>
      <c r="E10" s="163">
        <f t="shared" si="0"/>
        <v>0</v>
      </c>
      <c r="F10" s="163">
        <f t="shared" si="1"/>
        <v>0</v>
      </c>
      <c r="G10" s="163">
        <f t="shared" si="2"/>
        <v>0</v>
      </c>
      <c r="H10" s="163">
        <f t="shared" si="3"/>
        <v>0</v>
      </c>
      <c r="I10" s="167" t="str">
        <f>CONCATENATE("účinnost systému nuceného větrání: ",AB10*100,"%, větraný objem: ",AC10," m3/h")</f>
        <v>účinnost systému nuceného větrání: 0%, větraný objem: 0 m3/h</v>
      </c>
      <c r="J10" s="166" t="str">
        <f>IF(AD10="Nesplňuje požadavky na účinnost rekuperace, účinnost musí být alespoň 67%","Opatření NESPLŇUJE požadavek programu","Opatření splňuje požadavek programu")</f>
        <v>Opatření splňuje požadavek programu</v>
      </c>
      <c r="AB10" s="165">
        <f>Zateplení!F101</f>
        <v>0</v>
      </c>
      <c r="AC10" s="146">
        <f>Zateplení!F102</f>
        <v>0</v>
      </c>
      <c r="AD10" s="146" t="str">
        <f>Zateplení!G101</f>
        <v/>
      </c>
    </row>
    <row r="11" spans="1:33">
      <c r="A11">
        <v>9</v>
      </c>
      <c r="B11" t="s">
        <v>157</v>
      </c>
      <c r="C11" t="s">
        <v>517</v>
      </c>
      <c r="D11" t="str">
        <f>IF(parametry!B111=TRUE,Osvetlení!E4,"ne")</f>
        <v>ne</v>
      </c>
      <c r="E11" s="163">
        <f t="shared" si="0"/>
        <v>0</v>
      </c>
      <c r="F11" s="163">
        <f t="shared" si="1"/>
        <v>0</v>
      </c>
      <c r="G11" s="163">
        <f t="shared" si="2"/>
        <v>0</v>
      </c>
      <c r="H11" s="163">
        <f t="shared" si="3"/>
        <v>0</v>
      </c>
      <c r="I11" s="167" t="e">
        <f>CONCATENATE("počet vyměňových zdrojů ",AE11,", celkový příkon vyměňových zdrojů ",AF11," W, průměrný příkon 1 zdroje: ",AG11," W")</f>
        <v>#DIV/0!</v>
      </c>
      <c r="J11" s="166" t="s">
        <v>640</v>
      </c>
      <c r="AE11" s="146">
        <f>Osvetlení!E5</f>
        <v>0</v>
      </c>
      <c r="AF11" s="146">
        <f>IF(AND(Osvetlení!E7=0,Osvetlení!E8=0),0,IF(Osvetlení!E7=0,AE11*AG11,Osvetlení!E7))</f>
        <v>0</v>
      </c>
      <c r="AG11" s="530" t="e">
        <f>IF(Osvetlení!E8=0,AF11/AE11,Osvetlení!E8)</f>
        <v>#DIV/0!</v>
      </c>
    </row>
    <row r="12" spans="1:33">
      <c r="A12">
        <v>10</v>
      </c>
      <c r="B12" t="s">
        <v>157</v>
      </c>
      <c r="C12" t="s">
        <v>518</v>
      </c>
      <c r="D12" t="str">
        <f>IF(parametry!B111=TRUE,Osvetlení!E10,"ne")</f>
        <v>ne</v>
      </c>
      <c r="E12" s="163">
        <f t="shared" si="0"/>
        <v>0</v>
      </c>
      <c r="F12" s="163">
        <f t="shared" si="1"/>
        <v>0</v>
      </c>
      <c r="G12" s="163">
        <f t="shared" si="2"/>
        <v>0</v>
      </c>
      <c r="H12" s="163">
        <f t="shared" si="3"/>
        <v>0</v>
      </c>
      <c r="I12" s="167" t="e">
        <f>CONCATENATE("počet vyměňových zdrojů ",AE12,", celkový příkon vyměňových zdrojů ",AF12," W, průměrný příkon 1 zdroje: ",AG12," W")</f>
        <v>#DIV/0!</v>
      </c>
      <c r="J12" s="166" t="s">
        <v>640</v>
      </c>
      <c r="AE12" s="146">
        <f>Osvetlení!E11</f>
        <v>0</v>
      </c>
      <c r="AF12" s="146">
        <f>IF(AND(Osvetlení!E13=0,Osvetlení!E14=0),0,IF(Osvetlení!E13=0,AE12*AG12,Osvetlení!E13))</f>
        <v>0</v>
      </c>
      <c r="AG12" s="530" t="e">
        <f>IF(Osvetlení!E14=0,AF12/AE12,Osvetlení!E14)</f>
        <v>#DIV/0!</v>
      </c>
    </row>
    <row r="13" spans="1:33">
      <c r="A13">
        <v>11</v>
      </c>
      <c r="B13" t="s">
        <v>157</v>
      </c>
      <c r="C13" t="s">
        <v>519</v>
      </c>
      <c r="D13" t="str">
        <f>IF(parametry!B111=TRUE,Osvetlení!E16,"ne")</f>
        <v>ne</v>
      </c>
      <c r="E13" s="163">
        <f t="shared" si="0"/>
        <v>0</v>
      </c>
      <c r="F13" s="163">
        <f t="shared" si="1"/>
        <v>0</v>
      </c>
      <c r="G13" s="163">
        <f t="shared" si="2"/>
        <v>0</v>
      </c>
      <c r="H13" s="163">
        <f t="shared" si="3"/>
        <v>0</v>
      </c>
      <c r="I13" s="167" t="e">
        <f>CONCATENATE("počet vyměňových zdrojů ",AE13,", celkový příkon vyměňových zdrojů ",AF13," W, průměrný příkon 1 zdroje: ",AG13," W")</f>
        <v>#DIV/0!</v>
      </c>
      <c r="J13" s="166" t="s">
        <v>640</v>
      </c>
      <c r="AE13" s="146">
        <f>Osvetlení!E17</f>
        <v>0</v>
      </c>
      <c r="AF13" s="146">
        <f>IF(AND(Osvetlení!E19=0,Osvetlení!E20=0),0,IF(Osvetlení!E19=0,AE13*AG13,Osvetlení!E19))</f>
        <v>0</v>
      </c>
      <c r="AG13" s="530" t="e">
        <f>IF(Osvetlení!E20=0,AF13/AE13,Osvetlení!E20)</f>
        <v>#DIV/0!</v>
      </c>
    </row>
    <row r="14" spans="1:33">
      <c r="A14">
        <v>12</v>
      </c>
      <c r="B14" t="s">
        <v>157</v>
      </c>
      <c r="C14" t="s">
        <v>520</v>
      </c>
      <c r="D14" t="str">
        <f>IF(parametry!B111=TRUE,Osvetlení!E22,"ne")</f>
        <v>ne</v>
      </c>
      <c r="E14" s="163">
        <f t="shared" si="0"/>
        <v>0</v>
      </c>
      <c r="F14" s="163">
        <f t="shared" si="1"/>
        <v>0</v>
      </c>
      <c r="G14" s="163">
        <f t="shared" si="2"/>
        <v>0</v>
      </c>
      <c r="H14" s="163">
        <f t="shared" si="3"/>
        <v>0</v>
      </c>
      <c r="I14" s="167" t="e">
        <f>CONCATENATE("počet vyměňových zdrojů ",AE14,", celkový příkon vyměňových zdrojů ",AF14," W, průměrný příkon 1 zdroje: ",AG14," W")</f>
        <v>#DIV/0!</v>
      </c>
      <c r="J14" s="166" t="s">
        <v>640</v>
      </c>
      <c r="AE14" s="146">
        <f>Osvetlení!E23</f>
        <v>0</v>
      </c>
      <c r="AF14" s="146">
        <f>IF(AND(Osvetlení!E25=0,Osvetlení!E26=0),0,IF(Osvetlení!E25=0,AE14*AG14,Osvetlení!E25))</f>
        <v>0</v>
      </c>
      <c r="AG14" s="530" t="e">
        <f>IF(Osvetlení!E26=0,AF14/AE14,Osvetlení!E26)</f>
        <v>#DIV/0!</v>
      </c>
    </row>
    <row r="15" spans="1:33">
      <c r="A15">
        <v>13</v>
      </c>
      <c r="B15" t="s">
        <v>157</v>
      </c>
      <c r="C15" t="s">
        <v>521</v>
      </c>
      <c r="D15" t="str">
        <f>IF(parametry!B111=TRUE,Osvetlení!E28,"ne")</f>
        <v>ne</v>
      </c>
      <c r="E15" s="163">
        <f t="shared" si="0"/>
        <v>0</v>
      </c>
      <c r="F15" s="163">
        <f t="shared" si="1"/>
        <v>0</v>
      </c>
      <c r="G15" s="163">
        <f t="shared" si="2"/>
        <v>0</v>
      </c>
      <c r="H15" s="163">
        <f t="shared" si="3"/>
        <v>0</v>
      </c>
      <c r="I15" s="167" t="e">
        <f>CONCATENATE("počet vyměňových zdrojů ",AE15,", celkový příkon vyměňových zdrojů ",AF15," W, průměrný příkon 1 zdroje: ",AG15," W")</f>
        <v>#DIV/0!</v>
      </c>
      <c r="J15" s="166" t="s">
        <v>640</v>
      </c>
      <c r="AE15" s="146">
        <f>Osvetlení!E29</f>
        <v>0</v>
      </c>
      <c r="AF15">
        <f>IF(AND(Osvetlení!E31=0,Osvetlení!E32=0),0,IF(Osvetlení!E31=0,AE15*AG15,Osvetlení!E31))</f>
        <v>0</v>
      </c>
      <c r="AG15" s="530" t="e">
        <f>IF(Osvetlení!E32=0,AF15/AE15,Osvetlení!E32)</f>
        <v>#DIV/0!</v>
      </c>
    </row>
    <row r="16" spans="1:33">
      <c r="A16">
        <v>14</v>
      </c>
      <c r="C16" t="s">
        <v>918</v>
      </c>
      <c r="D16" t="str">
        <f>IF(parametry!B112=TRUE,FVE!F10,"ne")</f>
        <v>ne</v>
      </c>
      <c r="E16" s="163">
        <f t="shared" si="0"/>
        <v>0</v>
      </c>
      <c r="F16" s="163">
        <f>E16+F15</f>
        <v>0</v>
      </c>
      <c r="G16" s="163">
        <f>IF(F15=F16,0,F16)</f>
        <v>0</v>
      </c>
      <c r="H16" s="163">
        <f t="shared" si="3"/>
        <v>0</v>
      </c>
      <c r="I16" s="167" t="str">
        <f>CONCATENATE("Instalace FVE o výkonu  ",FVE!E4,FVE!D4,", při roční výrobě  ",FVE!E5,FVE!D5,IF(FVE!E6="ano",CONCATENATE(", s kapacitou baterie ",FVE!E7,FVE!D8),""))</f>
        <v>Instalace FVE o výkonu  kWp, při roční výrobě  kWh</v>
      </c>
      <c r="J16" s="166" t="s">
        <v>640</v>
      </c>
    </row>
    <row r="17" spans="1:10">
      <c r="J17" t="str">
        <f>IFERROR(VLOOKUP("Opatření NESPLŇUJE požadavek programu",J3:J15,1,0),"Všechna opatření splňují požadavky programu")</f>
        <v>Všechna opatření splňují požadavky programu</v>
      </c>
    </row>
    <row r="20" spans="1:10">
      <c r="A20" s="172"/>
      <c r="B20" s="172" t="s">
        <v>622</v>
      </c>
      <c r="C20" s="173" t="s">
        <v>505</v>
      </c>
      <c r="D20" s="172" t="s">
        <v>634</v>
      </c>
      <c r="E20" s="173" t="s">
        <v>635</v>
      </c>
    </row>
    <row r="21" spans="1:10">
      <c r="A21" s="108">
        <v>1</v>
      </c>
      <c r="B21" s="108"/>
      <c r="C21" s="108" t="str">
        <f>IF(H3=0,"",INDEX($C$3:$C$16,$H3))</f>
        <v/>
      </c>
      <c r="D21" s="108" t="str">
        <f>IF(C21="","",VLOOKUP(C21,$C$3:$J$16,7,0))</f>
        <v/>
      </c>
      <c r="E21" s="108" t="str">
        <f>IF(C21="","",VLOOKUP(C21,$C$3:$J$16,8,0))</f>
        <v/>
      </c>
    </row>
    <row r="22" spans="1:10">
      <c r="A22" s="108">
        <v>2</v>
      </c>
      <c r="B22" s="108"/>
      <c r="C22" s="108" t="str">
        <f t="shared" ref="C22:C33" si="4">IF(H4=0,"",INDEX($C$3:$C$16,$H4))</f>
        <v/>
      </c>
      <c r="D22" s="108" t="str">
        <f t="shared" ref="D22:D34" si="5">IF(C22="","",VLOOKUP(C22,$C$3:$J$16,7,0))</f>
        <v/>
      </c>
      <c r="E22" s="108" t="str">
        <f t="shared" ref="E22:E34" si="6">IF(C22="","",VLOOKUP(C22,$C$3:$J$16,8,0))</f>
        <v/>
      </c>
    </row>
    <row r="23" spans="1:10">
      <c r="A23" s="108">
        <v>3</v>
      </c>
      <c r="B23" s="108"/>
      <c r="C23" s="108" t="str">
        <f t="shared" si="4"/>
        <v/>
      </c>
      <c r="D23" s="108" t="str">
        <f t="shared" si="5"/>
        <v/>
      </c>
      <c r="E23" s="108" t="str">
        <f t="shared" si="6"/>
        <v/>
      </c>
    </row>
    <row r="24" spans="1:10">
      <c r="A24" s="108">
        <v>4</v>
      </c>
      <c r="B24" s="108"/>
      <c r="C24" s="108" t="str">
        <f t="shared" si="4"/>
        <v/>
      </c>
      <c r="D24" s="108" t="str">
        <f t="shared" si="5"/>
        <v/>
      </c>
      <c r="E24" s="108" t="str">
        <f t="shared" si="6"/>
        <v/>
      </c>
    </row>
    <row r="25" spans="1:10">
      <c r="A25" s="108">
        <v>5</v>
      </c>
      <c r="B25" s="108"/>
      <c r="C25" s="108" t="str">
        <f t="shared" si="4"/>
        <v/>
      </c>
      <c r="D25" s="108" t="str">
        <f t="shared" si="5"/>
        <v/>
      </c>
      <c r="E25" s="108" t="str">
        <f t="shared" si="6"/>
        <v/>
      </c>
    </row>
    <row r="26" spans="1:10">
      <c r="A26" s="108">
        <v>6</v>
      </c>
      <c r="B26" s="108"/>
      <c r="C26" s="108" t="str">
        <f t="shared" si="4"/>
        <v/>
      </c>
      <c r="D26" s="108" t="str">
        <f t="shared" si="5"/>
        <v/>
      </c>
      <c r="E26" s="108" t="str">
        <f t="shared" si="6"/>
        <v/>
      </c>
    </row>
    <row r="27" spans="1:10">
      <c r="A27" s="108">
        <v>7</v>
      </c>
      <c r="B27" s="108"/>
      <c r="C27" s="108" t="str">
        <f>IF(H9=0,"",INDEX($C$3:$C$16,$H9))</f>
        <v/>
      </c>
      <c r="D27" s="108" t="str">
        <f t="shared" si="5"/>
        <v/>
      </c>
      <c r="E27" s="108" t="str">
        <f t="shared" si="6"/>
        <v/>
      </c>
    </row>
    <row r="28" spans="1:10">
      <c r="A28" s="108">
        <v>8</v>
      </c>
      <c r="B28" s="108"/>
      <c r="C28" s="108" t="str">
        <f t="shared" si="4"/>
        <v/>
      </c>
      <c r="D28" s="108" t="str">
        <f>IF(C28="","",VLOOKUP(C28,$C$3:$J$16,7,0))</f>
        <v/>
      </c>
      <c r="E28" s="108" t="str">
        <f t="shared" si="6"/>
        <v/>
      </c>
    </row>
    <row r="29" spans="1:10">
      <c r="A29" s="108">
        <v>9</v>
      </c>
      <c r="B29" s="108"/>
      <c r="C29" s="108" t="str">
        <f>IF(H11=0,"",INDEX($C$3:$C$16,$H11))</f>
        <v/>
      </c>
      <c r="D29" s="108" t="str">
        <f t="shared" si="5"/>
        <v/>
      </c>
      <c r="E29" s="108" t="str">
        <f t="shared" si="6"/>
        <v/>
      </c>
    </row>
    <row r="30" spans="1:10">
      <c r="A30" s="108">
        <v>10</v>
      </c>
      <c r="B30" s="108"/>
      <c r="C30" s="108" t="str">
        <f>IF(H12=0,"",INDEX($C$3:$C$16,$H12))</f>
        <v/>
      </c>
      <c r="D30" s="108" t="str">
        <f t="shared" si="5"/>
        <v/>
      </c>
      <c r="E30" s="108" t="str">
        <f t="shared" si="6"/>
        <v/>
      </c>
    </row>
    <row r="31" spans="1:10">
      <c r="A31" s="108">
        <v>11</v>
      </c>
      <c r="B31" s="108"/>
      <c r="C31" s="108" t="str">
        <f t="shared" si="4"/>
        <v/>
      </c>
      <c r="D31" s="108" t="str">
        <f t="shared" si="5"/>
        <v/>
      </c>
      <c r="E31" s="108" t="str">
        <f t="shared" si="6"/>
        <v/>
      </c>
    </row>
    <row r="32" spans="1:10">
      <c r="A32" s="108">
        <v>12</v>
      </c>
      <c r="B32" s="108"/>
      <c r="C32" s="108" t="str">
        <f t="shared" si="4"/>
        <v/>
      </c>
      <c r="D32" s="108" t="str">
        <f t="shared" si="5"/>
        <v/>
      </c>
      <c r="E32" s="108" t="str">
        <f t="shared" si="6"/>
        <v/>
      </c>
    </row>
    <row r="33" spans="1:5">
      <c r="A33" s="108">
        <v>13</v>
      </c>
      <c r="B33" s="108"/>
      <c r="C33" s="108" t="str">
        <f t="shared" si="4"/>
        <v/>
      </c>
      <c r="D33" s="108" t="str">
        <f t="shared" si="5"/>
        <v/>
      </c>
      <c r="E33" s="108" t="str">
        <f t="shared" si="6"/>
        <v/>
      </c>
    </row>
    <row r="34" spans="1:5">
      <c r="A34" s="108">
        <v>14</v>
      </c>
      <c r="B34" s="108"/>
      <c r="C34" s="108" t="str">
        <f>IF(H16=0,"",INDEX($C$3:$C$16,$H16))</f>
        <v/>
      </c>
      <c r="D34" s="108" t="str">
        <f t="shared" si="5"/>
        <v/>
      </c>
      <c r="E34" s="108" t="str">
        <f t="shared" si="6"/>
        <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dimension ref="A1:H126"/>
  <sheetViews>
    <sheetView view="pageLayout" topLeftCell="A24" zoomScaleNormal="85" workbookViewId="0">
      <selection activeCell="A18" sqref="A18:G33"/>
    </sheetView>
  </sheetViews>
  <sheetFormatPr defaultColWidth="8.85546875" defaultRowHeight="15"/>
  <cols>
    <col min="1" max="1" width="9.42578125" style="456" customWidth="1"/>
    <col min="2" max="2" width="10.140625" style="456" customWidth="1"/>
    <col min="3" max="3" width="14" style="456" customWidth="1"/>
    <col min="4" max="4" width="27.7109375" style="456" customWidth="1"/>
    <col min="5" max="5" width="10.28515625" style="456" customWidth="1"/>
    <col min="6" max="6" width="13.28515625" style="456" customWidth="1"/>
    <col min="7" max="7" width="11.85546875" style="456" customWidth="1"/>
    <col min="8" max="8" width="10.85546875" style="456" bestFit="1" customWidth="1"/>
    <col min="9" max="16384" width="8.85546875" style="456"/>
  </cols>
  <sheetData>
    <row r="1" spans="1:8" ht="62.25" customHeight="1">
      <c r="A1" s="455"/>
      <c r="B1" s="455"/>
      <c r="C1" s="455"/>
      <c r="D1" s="455"/>
      <c r="E1" s="455"/>
      <c r="F1" s="455"/>
    </row>
    <row r="2" spans="1:8" ht="27" customHeight="1">
      <c r="A2" s="661" t="s">
        <v>441</v>
      </c>
      <c r="B2" s="661"/>
      <c r="C2" s="661"/>
      <c r="D2" s="661"/>
      <c r="E2" s="661"/>
      <c r="F2" s="661"/>
      <c r="G2" s="661"/>
    </row>
    <row r="3" spans="1:8" ht="28.5" customHeight="1">
      <c r="A3" s="662" t="s">
        <v>442</v>
      </c>
      <c r="B3" s="662"/>
      <c r="C3" s="662"/>
      <c r="D3" s="662"/>
      <c r="E3" s="662"/>
      <c r="F3" s="662"/>
      <c r="G3" s="662"/>
      <c r="H3" s="433"/>
    </row>
    <row r="4" spans="1:8" ht="28.5" customHeight="1">
      <c r="A4" s="457"/>
      <c r="B4" s="457"/>
      <c r="C4" s="457"/>
      <c r="D4" s="457"/>
      <c r="E4" s="457"/>
      <c r="F4" s="457"/>
      <c r="G4" s="457"/>
      <c r="H4" s="433"/>
    </row>
    <row r="5" spans="1:8" ht="28.5" customHeight="1">
      <c r="A5" s="686" t="s">
        <v>795</v>
      </c>
      <c r="B5" s="687"/>
      <c r="C5" s="688"/>
      <c r="D5" s="671"/>
      <c r="E5" s="672"/>
      <c r="F5" s="672"/>
      <c r="G5" s="673"/>
      <c r="H5" s="433"/>
    </row>
    <row r="6" spans="1:8" ht="28.5" customHeight="1">
      <c r="A6" s="696" t="s">
        <v>191</v>
      </c>
      <c r="B6" s="697"/>
      <c r="C6" s="698"/>
      <c r="D6" s="665">
        <f>'Hlavní list'!C6</f>
        <v>0</v>
      </c>
      <c r="E6" s="666"/>
      <c r="F6" s="666"/>
      <c r="G6" s="667"/>
      <c r="H6" s="433"/>
    </row>
    <row r="7" spans="1:8" ht="43.5" customHeight="1">
      <c r="A7" s="696" t="s">
        <v>192</v>
      </c>
      <c r="B7" s="697"/>
      <c r="C7" s="698"/>
      <c r="D7" s="665">
        <f>'Hlavní list'!C7</f>
        <v>0</v>
      </c>
      <c r="E7" s="666"/>
      <c r="F7" s="666"/>
      <c r="G7" s="667"/>
      <c r="H7" s="433"/>
    </row>
    <row r="8" spans="1:8" ht="28.5" customHeight="1">
      <c r="A8" s="696" t="s">
        <v>456</v>
      </c>
      <c r="B8" s="697"/>
      <c r="C8" s="698"/>
      <c r="D8" s="665">
        <f>'Hlavní list'!C8</f>
        <v>0</v>
      </c>
      <c r="E8" s="666"/>
      <c r="F8" s="666"/>
      <c r="G8" s="667"/>
      <c r="H8" s="433"/>
    </row>
    <row r="9" spans="1:8" ht="28.5" customHeight="1">
      <c r="A9" s="696" t="s">
        <v>787</v>
      </c>
      <c r="B9" s="697"/>
      <c r="C9" s="698"/>
      <c r="D9" s="665">
        <f>'Hlavní list'!C9</f>
        <v>0</v>
      </c>
      <c r="E9" s="666"/>
      <c r="F9" s="666"/>
      <c r="G9" s="667"/>
      <c r="H9" s="433"/>
    </row>
    <row r="10" spans="1:8" ht="28.5" customHeight="1">
      <c r="A10" s="696" t="s">
        <v>788</v>
      </c>
      <c r="B10" s="697"/>
      <c r="C10" s="698"/>
      <c r="D10" s="665">
        <f>'Hlavní list'!C10</f>
        <v>0</v>
      </c>
      <c r="E10" s="666"/>
      <c r="F10" s="666"/>
      <c r="G10" s="667"/>
      <c r="H10" s="433"/>
    </row>
    <row r="11" spans="1:8" s="458" customFormat="1" ht="64.5" customHeight="1">
      <c r="A11" s="696" t="s">
        <v>231</v>
      </c>
      <c r="B11" s="697"/>
      <c r="C11" s="698"/>
      <c r="D11" s="668">
        <f>'Hlavní list'!C11</f>
        <v>0</v>
      </c>
      <c r="E11" s="669"/>
      <c r="F11" s="669"/>
      <c r="G11" s="670"/>
      <c r="H11" s="339"/>
    </row>
    <row r="12" spans="1:8">
      <c r="A12" s="459"/>
      <c r="B12" s="460"/>
      <c r="C12" s="460"/>
      <c r="D12" s="460"/>
      <c r="E12" s="455"/>
      <c r="F12" s="455"/>
    </row>
    <row r="13" spans="1:8" ht="49.15" customHeight="1">
      <c r="A13" s="663" t="s">
        <v>813</v>
      </c>
      <c r="B13" s="664"/>
      <c r="C13" s="664"/>
      <c r="D13" s="664"/>
      <c r="E13" s="664"/>
      <c r="F13" s="664"/>
      <c r="G13" s="664"/>
    </row>
    <row r="14" spans="1:8">
      <c r="A14" s="461"/>
      <c r="B14" s="462"/>
      <c r="C14" s="462"/>
      <c r="D14" s="455"/>
      <c r="E14" s="455"/>
      <c r="F14" s="455"/>
    </row>
    <row r="15" spans="1:8" ht="31.15" customHeight="1">
      <c r="A15" s="710" t="s">
        <v>232</v>
      </c>
      <c r="B15" s="710"/>
      <c r="C15" s="710"/>
      <c r="D15" s="710"/>
      <c r="E15" s="712" t="s">
        <v>896</v>
      </c>
      <c r="F15" s="713"/>
      <c r="G15" s="714"/>
    </row>
    <row r="16" spans="1:8" ht="33.6" customHeight="1">
      <c r="A16" s="711"/>
      <c r="B16" s="711"/>
      <c r="C16" s="711"/>
      <c r="D16" s="711"/>
      <c r="E16" s="463" t="s">
        <v>120</v>
      </c>
      <c r="F16" s="463" t="s">
        <v>43</v>
      </c>
      <c r="G16" s="464" t="s">
        <v>812</v>
      </c>
    </row>
    <row r="17" spans="1:7" ht="52.15" customHeight="1">
      <c r="A17" s="699" t="s">
        <v>898</v>
      </c>
      <c r="B17" s="700"/>
      <c r="C17" s="700"/>
      <c r="D17" s="701"/>
      <c r="E17" s="535" t="str">
        <f>IF('Hlavní list'!C41&gt;10%,"x","")</f>
        <v/>
      </c>
      <c r="F17" s="535" t="str">
        <f>IF('Hlavní list'!C41&lt;10%,"x","")</f>
        <v>x</v>
      </c>
      <c r="G17" s="535"/>
    </row>
    <row r="18" spans="1:7" ht="74.45" customHeight="1">
      <c r="A18" s="699" t="s">
        <v>899</v>
      </c>
      <c r="B18" s="700"/>
      <c r="C18" s="700"/>
      <c r="D18" s="701"/>
      <c r="E18" s="225"/>
      <c r="F18" s="225"/>
      <c r="G18" s="225"/>
    </row>
    <row r="19" spans="1:7" ht="48.6" customHeight="1">
      <c r="A19" s="699" t="s">
        <v>900</v>
      </c>
      <c r="B19" s="700"/>
      <c r="C19" s="700"/>
      <c r="D19" s="701"/>
      <c r="E19" s="225"/>
      <c r="F19" s="225"/>
      <c r="G19" s="225"/>
    </row>
    <row r="20" spans="1:7" ht="65.45" customHeight="1">
      <c r="A20" s="699" t="s">
        <v>901</v>
      </c>
      <c r="B20" s="700"/>
      <c r="C20" s="700"/>
      <c r="D20" s="701"/>
      <c r="E20" s="225"/>
      <c r="F20" s="225"/>
      <c r="G20" s="225"/>
    </row>
    <row r="21" spans="1:7" ht="39" customHeight="1">
      <c r="A21" s="699" t="s">
        <v>902</v>
      </c>
      <c r="B21" s="700"/>
      <c r="C21" s="700"/>
      <c r="D21" s="701"/>
      <c r="E21" s="225"/>
      <c r="F21" s="225"/>
      <c r="G21" s="225"/>
    </row>
    <row r="22" spans="1:7" ht="31.15" customHeight="1">
      <c r="A22" s="699" t="s">
        <v>903</v>
      </c>
      <c r="B22" s="700"/>
      <c r="C22" s="700"/>
      <c r="D22" s="701"/>
      <c r="E22" s="225"/>
      <c r="F22" s="225"/>
      <c r="G22" s="225"/>
    </row>
    <row r="23" spans="1:7" ht="51" customHeight="1">
      <c r="A23" s="699" t="s">
        <v>904</v>
      </c>
      <c r="B23" s="700"/>
      <c r="C23" s="700"/>
      <c r="D23" s="701"/>
      <c r="E23" s="225"/>
      <c r="F23" s="225"/>
      <c r="G23" s="225"/>
    </row>
    <row r="24" spans="1:7" ht="35.450000000000003" customHeight="1">
      <c r="A24" s="699" t="s">
        <v>905</v>
      </c>
      <c r="B24" s="700"/>
      <c r="C24" s="700"/>
      <c r="D24" s="701"/>
      <c r="E24" s="225"/>
      <c r="F24" s="225"/>
      <c r="G24" s="225"/>
    </row>
    <row r="25" spans="1:7" ht="39" customHeight="1">
      <c r="A25" s="699" t="s">
        <v>906</v>
      </c>
      <c r="B25" s="700"/>
      <c r="C25" s="700"/>
      <c r="D25" s="701"/>
      <c r="E25" s="225"/>
      <c r="F25" s="225"/>
      <c r="G25" s="225"/>
    </row>
    <row r="26" spans="1:7" ht="81.599999999999994" customHeight="1">
      <c r="A26" s="699" t="s">
        <v>943</v>
      </c>
      <c r="B26" s="700"/>
      <c r="C26" s="700"/>
      <c r="D26" s="701"/>
      <c r="E26" s="225"/>
      <c r="F26" s="225"/>
      <c r="G26" s="225"/>
    </row>
    <row r="27" spans="1:7" ht="70.900000000000006" customHeight="1">
      <c r="A27" s="699" t="s">
        <v>944</v>
      </c>
      <c r="B27" s="700"/>
      <c r="C27" s="700"/>
      <c r="D27" s="701"/>
      <c r="E27" s="225"/>
      <c r="F27" s="225"/>
      <c r="G27" s="225"/>
    </row>
    <row r="28" spans="1:7" ht="76.900000000000006" customHeight="1">
      <c r="A28" s="700" t="s">
        <v>907</v>
      </c>
      <c r="B28" s="700"/>
      <c r="C28" s="700"/>
      <c r="D28" s="701"/>
      <c r="E28" s="225"/>
      <c r="F28" s="225"/>
      <c r="G28" s="536"/>
    </row>
    <row r="29" spans="1:7" ht="51" customHeight="1">
      <c r="A29" s="699" t="s">
        <v>908</v>
      </c>
      <c r="B29" s="700"/>
      <c r="C29" s="700"/>
      <c r="D29" s="701"/>
      <c r="E29" s="225"/>
      <c r="F29" s="225"/>
      <c r="G29" s="225"/>
    </row>
    <row r="30" spans="1:7" ht="38.450000000000003" customHeight="1">
      <c r="A30" s="699" t="s">
        <v>909</v>
      </c>
      <c r="B30" s="700"/>
      <c r="C30" s="700"/>
      <c r="D30" s="701"/>
      <c r="E30" s="225"/>
      <c r="F30" s="225"/>
      <c r="G30" s="225"/>
    </row>
    <row r="31" spans="1:7" ht="37.15" customHeight="1">
      <c r="A31" s="699" t="s">
        <v>910</v>
      </c>
      <c r="B31" s="700"/>
      <c r="C31" s="700"/>
      <c r="D31" s="701"/>
      <c r="E31" s="225"/>
      <c r="F31" s="225"/>
      <c r="G31" s="225"/>
    </row>
    <row r="32" spans="1:7" ht="35.450000000000003" customHeight="1">
      <c r="A32" s="699" t="s">
        <v>911</v>
      </c>
      <c r="B32" s="700"/>
      <c r="C32" s="700"/>
      <c r="D32" s="701"/>
      <c r="E32" s="225"/>
      <c r="F32" s="225"/>
      <c r="G32" s="225"/>
    </row>
    <row r="33" spans="1:8" ht="80.25" customHeight="1">
      <c r="A33" s="699" t="s">
        <v>931</v>
      </c>
      <c r="B33" s="700"/>
      <c r="C33" s="700"/>
      <c r="D33" s="701"/>
      <c r="E33" s="225"/>
      <c r="F33" s="225"/>
      <c r="G33" s="225"/>
    </row>
    <row r="34" spans="1:8" ht="49.5" customHeight="1">
      <c r="A34" s="699" t="s">
        <v>941</v>
      </c>
      <c r="B34" s="700"/>
      <c r="C34" s="700"/>
      <c r="D34" s="701"/>
      <c r="E34" s="225"/>
      <c r="F34" s="225"/>
      <c r="G34" s="225"/>
    </row>
    <row r="35" spans="1:8" ht="20.25" customHeight="1">
      <c r="A35" s="465"/>
      <c r="B35" s="465"/>
      <c r="C35" s="465"/>
      <c r="D35" s="465"/>
      <c r="E35" s="466"/>
      <c r="F35" s="466"/>
      <c r="G35" s="466"/>
    </row>
    <row r="36" spans="1:8" ht="49.15" customHeight="1">
      <c r="A36" s="686" t="s">
        <v>809</v>
      </c>
      <c r="B36" s="687"/>
      <c r="C36" s="687"/>
      <c r="D36" s="687"/>
      <c r="E36" s="688"/>
      <c r="F36" s="689" t="s">
        <v>477</v>
      </c>
      <c r="G36" s="690"/>
      <c r="H36" s="467"/>
    </row>
    <row r="37" spans="1:8" ht="49.15" customHeight="1">
      <c r="A37" s="717" t="s">
        <v>802</v>
      </c>
      <c r="B37" s="718"/>
      <c r="C37" s="718"/>
      <c r="D37" s="718"/>
      <c r="E37" s="719"/>
      <c r="F37" s="706">
        <f>'Hlavní list'!D21</f>
        <v>0</v>
      </c>
      <c r="G37" s="707"/>
      <c r="H37" s="467"/>
    </row>
    <row r="38" spans="1:8" ht="49.15" customHeight="1">
      <c r="A38" s="720" t="s">
        <v>804</v>
      </c>
      <c r="B38" s="721"/>
      <c r="C38" s="721"/>
      <c r="D38" s="721"/>
      <c r="E38" s="722"/>
      <c r="F38" s="706">
        <f>'Hlavní list'!D22</f>
        <v>0</v>
      </c>
      <c r="G38" s="707"/>
      <c r="H38" s="467"/>
    </row>
    <row r="39" spans="1:8" ht="49.15" customHeight="1">
      <c r="A39" s="720" t="s">
        <v>807</v>
      </c>
      <c r="B39" s="721"/>
      <c r="C39" s="721"/>
      <c r="D39" s="721"/>
      <c r="E39" s="722"/>
      <c r="F39" s="706">
        <f>'Hlavní list'!D23</f>
        <v>0</v>
      </c>
      <c r="G39" s="707"/>
    </row>
    <row r="40" spans="1:8" ht="24" customHeight="1">
      <c r="A40" s="691" t="s">
        <v>805</v>
      </c>
      <c r="B40" s="692"/>
      <c r="C40" s="692"/>
      <c r="D40" s="692"/>
      <c r="E40" s="693"/>
      <c r="F40" s="706">
        <f>'Hlavní list'!D25</f>
        <v>0</v>
      </c>
      <c r="G40" s="707"/>
    </row>
    <row r="41" spans="1:8">
      <c r="A41" s="468"/>
      <c r="B41" s="462"/>
      <c r="C41" s="462"/>
      <c r="D41" s="455"/>
      <c r="E41" s="455"/>
      <c r="F41" s="455"/>
      <c r="G41" s="455"/>
    </row>
    <row r="42" spans="1:8" ht="22.15" customHeight="1">
      <c r="A42" s="461"/>
      <c r="B42" s="462"/>
      <c r="C42" s="462"/>
      <c r="D42" s="455"/>
      <c r="E42" s="455"/>
      <c r="F42" s="455"/>
      <c r="G42" s="455"/>
    </row>
    <row r="43" spans="1:8" ht="27" customHeight="1">
      <c r="A43" s="686" t="s">
        <v>443</v>
      </c>
      <c r="B43" s="687"/>
      <c r="C43" s="687"/>
      <c r="D43" s="687"/>
      <c r="E43" s="688"/>
      <c r="F43" s="469" t="s">
        <v>3</v>
      </c>
      <c r="G43" s="469" t="s">
        <v>1</v>
      </c>
    </row>
    <row r="44" spans="1:8" ht="25.9" customHeight="1">
      <c r="A44" s="683" t="s">
        <v>638</v>
      </c>
      <c r="B44" s="684"/>
      <c r="C44" s="684"/>
      <c r="D44" s="684"/>
      <c r="E44" s="685"/>
      <c r="F44" s="470" t="str">
        <f>'Hlavní list'!C36</f>
        <v/>
      </c>
      <c r="G44" s="470" t="str">
        <f>'Hlavní list'!D36</f>
        <v/>
      </c>
    </row>
    <row r="45" spans="1:8" ht="27" customHeight="1">
      <c r="A45" s="683" t="s">
        <v>627</v>
      </c>
      <c r="B45" s="684"/>
      <c r="C45" s="684"/>
      <c r="D45" s="684"/>
      <c r="E45" s="685"/>
      <c r="F45" s="470" t="str">
        <f>'Hlavní list'!C37</f>
        <v/>
      </c>
      <c r="G45" s="470" t="str">
        <f>'Hlavní list'!D37</f>
        <v/>
      </c>
    </row>
    <row r="46" spans="1:8" ht="27" customHeight="1">
      <c r="A46" s="683" t="s">
        <v>628</v>
      </c>
      <c r="B46" s="684"/>
      <c r="C46" s="684"/>
      <c r="D46" s="684"/>
      <c r="E46" s="685"/>
      <c r="F46" s="470" t="str">
        <f>'Hlavní list'!C38</f>
        <v/>
      </c>
      <c r="G46" s="470" t="str">
        <f>'Hlavní list'!D38</f>
        <v/>
      </c>
    </row>
    <row r="47" spans="1:8" ht="27" customHeight="1">
      <c r="A47" s="683" t="s">
        <v>929</v>
      </c>
      <c r="B47" s="684"/>
      <c r="C47" s="684"/>
      <c r="D47" s="684"/>
      <c r="E47" s="684"/>
      <c r="F47" s="470">
        <f>'Hlavní list'!C39</f>
        <v>0</v>
      </c>
      <c r="G47" s="470">
        <f>'Hlavní list'!D39</f>
        <v>0</v>
      </c>
    </row>
    <row r="48" spans="1:8" ht="27" customHeight="1">
      <c r="A48" s="683" t="s">
        <v>930</v>
      </c>
      <c r="B48" s="684"/>
      <c r="C48" s="684"/>
      <c r="D48" s="684"/>
      <c r="E48" s="684"/>
      <c r="F48" s="470">
        <f>'Hlavní list'!C40</f>
        <v>0</v>
      </c>
      <c r="G48" s="470">
        <f>'Hlavní list'!D40</f>
        <v>0</v>
      </c>
    </row>
    <row r="49" spans="1:7" ht="29.45" customHeight="1">
      <c r="A49" s="686"/>
      <c r="B49" s="687"/>
      <c r="C49" s="687"/>
      <c r="D49" s="687"/>
      <c r="E49" s="687"/>
      <c r="F49" s="471"/>
      <c r="G49" s="472"/>
    </row>
    <row r="50" spans="1:7" ht="27" customHeight="1">
      <c r="A50" s="683" t="s">
        <v>630</v>
      </c>
      <c r="B50" s="684"/>
      <c r="C50" s="684"/>
      <c r="D50" s="684"/>
      <c r="E50" s="684"/>
      <c r="F50" s="685"/>
      <c r="G50" s="473">
        <f>'Hlavní list'!C41</f>
        <v>0</v>
      </c>
    </row>
    <row r="51" spans="1:7" ht="27" customHeight="1">
      <c r="A51" s="683" t="s">
        <v>856</v>
      </c>
      <c r="B51" s="684"/>
      <c r="C51" s="684"/>
      <c r="D51" s="684"/>
      <c r="E51" s="684"/>
      <c r="F51" s="685"/>
      <c r="G51" s="474">
        <f>'Hlavní list'!C42</f>
        <v>0</v>
      </c>
    </row>
    <row r="52" spans="1:7" ht="27" customHeight="1">
      <c r="A52" s="683" t="s">
        <v>857</v>
      </c>
      <c r="B52" s="684"/>
      <c r="C52" s="684"/>
      <c r="D52" s="684"/>
      <c r="E52" s="684"/>
      <c r="F52" s="685"/>
      <c r="G52" s="475">
        <f>'Hlavní list'!C43</f>
        <v>0</v>
      </c>
    </row>
    <row r="53" spans="1:7" ht="27" customHeight="1">
      <c r="A53" s="683" t="s">
        <v>851</v>
      </c>
      <c r="B53" s="684"/>
      <c r="C53" s="684"/>
      <c r="D53" s="684"/>
      <c r="E53" s="684"/>
      <c r="F53" s="685"/>
      <c r="G53" s="476">
        <f>'Hlavní list'!D44</f>
        <v>0</v>
      </c>
    </row>
    <row r="54" spans="1:7" ht="27" customHeight="1">
      <c r="A54" s="683" t="s">
        <v>858</v>
      </c>
      <c r="B54" s="684"/>
      <c r="C54" s="684"/>
      <c r="D54" s="684"/>
      <c r="E54" s="684"/>
      <c r="F54" s="685"/>
      <c r="G54" s="476">
        <f>'Hlavní list'!D45</f>
        <v>0</v>
      </c>
    </row>
    <row r="55" spans="1:7" ht="27" customHeight="1">
      <c r="A55" s="683" t="s">
        <v>859</v>
      </c>
      <c r="B55" s="684"/>
      <c r="C55" s="684"/>
      <c r="D55" s="684"/>
      <c r="E55" s="684"/>
      <c r="F55" s="685"/>
      <c r="G55" s="476">
        <f>'Hlavní list'!D46</f>
        <v>0</v>
      </c>
    </row>
    <row r="56" spans="1:7" ht="27" customHeight="1">
      <c r="A56" s="683" t="s">
        <v>639</v>
      </c>
      <c r="B56" s="684"/>
      <c r="C56" s="684"/>
      <c r="D56" s="684"/>
      <c r="E56" s="684"/>
      <c r="F56" s="685"/>
      <c r="G56" s="474">
        <f>'Hlavní list'!C47</f>
        <v>0</v>
      </c>
    </row>
    <row r="57" spans="1:7" ht="27" customHeight="1">
      <c r="A57" s="497" t="str">
        <f>'Hlavní list'!C49</f>
        <v>Nejsou zadána všechna data</v>
      </c>
      <c r="B57" s="477"/>
      <c r="C57" s="478"/>
      <c r="D57" s="478"/>
      <c r="E57" s="455"/>
      <c r="F57" s="455"/>
      <c r="G57" s="455"/>
    </row>
    <row r="58" spans="1:7" ht="27" customHeight="1">
      <c r="A58" s="498"/>
      <c r="B58" s="477"/>
      <c r="C58" s="478"/>
      <c r="D58" s="478"/>
      <c r="E58" s="455"/>
      <c r="F58" s="455"/>
      <c r="G58" s="455"/>
    </row>
    <row r="59" spans="1:7" ht="30" customHeight="1">
      <c r="A59" s="461"/>
      <c r="B59" s="477"/>
      <c r="C59" s="478"/>
      <c r="D59" s="478"/>
      <c r="E59" s="455"/>
      <c r="F59" s="455"/>
      <c r="G59" s="455"/>
    </row>
    <row r="60" spans="1:7" ht="37.9" customHeight="1">
      <c r="A60" s="479" t="s">
        <v>623</v>
      </c>
      <c r="B60" s="479"/>
      <c r="C60" s="715" t="s">
        <v>230</v>
      </c>
      <c r="D60" s="716"/>
      <c r="E60" s="675" t="s">
        <v>668</v>
      </c>
      <c r="F60" s="676"/>
      <c r="G60" s="676"/>
    </row>
    <row r="61" spans="1:7" ht="37.9" customHeight="1">
      <c r="A61" s="704" t="str">
        <f>'opatření k realizaci'!C21</f>
        <v/>
      </c>
      <c r="B61" s="705"/>
      <c r="C61" s="702" t="str">
        <f>'opatření k realizaci'!D21</f>
        <v/>
      </c>
      <c r="D61" s="703"/>
      <c r="E61" s="677" t="str">
        <f>'opatření k realizaci'!E21</f>
        <v/>
      </c>
      <c r="F61" s="678"/>
      <c r="G61" s="679"/>
    </row>
    <row r="62" spans="1:7" ht="37.9" customHeight="1">
      <c r="A62" s="704" t="str">
        <f>'opatření k realizaci'!C22</f>
        <v/>
      </c>
      <c r="B62" s="705"/>
      <c r="C62" s="694" t="str">
        <f>'opatření k realizaci'!D22</f>
        <v/>
      </c>
      <c r="D62" s="695"/>
      <c r="E62" s="680" t="str">
        <f>'opatření k realizaci'!E22</f>
        <v/>
      </c>
      <c r="F62" s="681"/>
      <c r="G62" s="682"/>
    </row>
    <row r="63" spans="1:7" ht="37.9" customHeight="1">
      <c r="A63" s="704" t="str">
        <f>'opatření k realizaci'!C23</f>
        <v/>
      </c>
      <c r="B63" s="705"/>
      <c r="C63" s="694" t="str">
        <f>'opatření k realizaci'!D23</f>
        <v/>
      </c>
      <c r="D63" s="695"/>
      <c r="E63" s="680" t="str">
        <f>'opatření k realizaci'!E23</f>
        <v/>
      </c>
      <c r="F63" s="681"/>
      <c r="G63" s="682"/>
    </row>
    <row r="64" spans="1:7" ht="37.9" customHeight="1">
      <c r="A64" s="704" t="str">
        <f>'opatření k realizaci'!C24</f>
        <v/>
      </c>
      <c r="B64" s="705"/>
      <c r="C64" s="694" t="str">
        <f>'opatření k realizaci'!D24</f>
        <v/>
      </c>
      <c r="D64" s="695"/>
      <c r="E64" s="680" t="str">
        <f>'opatření k realizaci'!E24</f>
        <v/>
      </c>
      <c r="F64" s="681"/>
      <c r="G64" s="682"/>
    </row>
    <row r="65" spans="1:7" ht="37.9" customHeight="1">
      <c r="A65" s="704" t="str">
        <f>'opatření k realizaci'!C25</f>
        <v/>
      </c>
      <c r="B65" s="705"/>
      <c r="C65" s="694" t="str">
        <f>'opatření k realizaci'!D25</f>
        <v/>
      </c>
      <c r="D65" s="695"/>
      <c r="E65" s="680" t="str">
        <f>'opatření k realizaci'!E25</f>
        <v/>
      </c>
      <c r="F65" s="681"/>
      <c r="G65" s="682"/>
    </row>
    <row r="66" spans="1:7" ht="37.9" customHeight="1">
      <c r="A66" s="704" t="str">
        <f>'opatření k realizaci'!C26</f>
        <v/>
      </c>
      <c r="B66" s="705"/>
      <c r="C66" s="694" t="str">
        <f>'opatření k realizaci'!D26</f>
        <v/>
      </c>
      <c r="D66" s="695"/>
      <c r="E66" s="680" t="str">
        <f>'opatření k realizaci'!E26</f>
        <v/>
      </c>
      <c r="F66" s="681"/>
      <c r="G66" s="682"/>
    </row>
    <row r="67" spans="1:7" ht="37.9" customHeight="1">
      <c r="A67" s="704" t="str">
        <f>'opatření k realizaci'!C27</f>
        <v/>
      </c>
      <c r="B67" s="705"/>
      <c r="C67" s="694" t="str">
        <f>'opatření k realizaci'!D27</f>
        <v/>
      </c>
      <c r="D67" s="695"/>
      <c r="E67" s="680" t="str">
        <f>'opatření k realizaci'!E27</f>
        <v/>
      </c>
      <c r="F67" s="681"/>
      <c r="G67" s="682"/>
    </row>
    <row r="68" spans="1:7" ht="37.9" customHeight="1">
      <c r="A68" s="704" t="str">
        <f>'opatření k realizaci'!C28</f>
        <v/>
      </c>
      <c r="B68" s="705"/>
      <c r="C68" s="702" t="str">
        <f>'opatření k realizaci'!D28</f>
        <v/>
      </c>
      <c r="D68" s="703"/>
      <c r="E68" s="680" t="str">
        <f>'opatření k realizaci'!E28</f>
        <v/>
      </c>
      <c r="F68" s="681"/>
      <c r="G68" s="682"/>
    </row>
    <row r="69" spans="1:7" ht="37.9" customHeight="1">
      <c r="A69" s="704" t="str">
        <f>'opatření k realizaci'!C29</f>
        <v/>
      </c>
      <c r="B69" s="705"/>
      <c r="C69" s="702" t="str">
        <f>'opatření k realizaci'!D29</f>
        <v/>
      </c>
      <c r="D69" s="703"/>
      <c r="E69" s="680" t="str">
        <f>'opatření k realizaci'!E29</f>
        <v/>
      </c>
      <c r="F69" s="681"/>
      <c r="G69" s="682"/>
    </row>
    <row r="70" spans="1:7" ht="37.9" customHeight="1">
      <c r="A70" s="704" t="str">
        <f>'opatření k realizaci'!C30</f>
        <v/>
      </c>
      <c r="B70" s="705"/>
      <c r="C70" s="702" t="str">
        <f>'opatření k realizaci'!D30</f>
        <v/>
      </c>
      <c r="D70" s="703"/>
      <c r="E70" s="680" t="str">
        <f>'opatření k realizaci'!E30</f>
        <v/>
      </c>
      <c r="F70" s="681"/>
      <c r="G70" s="682"/>
    </row>
    <row r="71" spans="1:7" ht="37.9" customHeight="1">
      <c r="A71" s="704" t="str">
        <f>'opatření k realizaci'!C31</f>
        <v/>
      </c>
      <c r="B71" s="705"/>
      <c r="C71" s="702" t="str">
        <f>'opatření k realizaci'!D31</f>
        <v/>
      </c>
      <c r="D71" s="703"/>
      <c r="E71" s="680" t="str">
        <f>'opatření k realizaci'!E31</f>
        <v/>
      </c>
      <c r="F71" s="681"/>
      <c r="G71" s="682"/>
    </row>
    <row r="72" spans="1:7" ht="42" customHeight="1">
      <c r="A72" s="704" t="str">
        <f>'opatření k realizaci'!C32</f>
        <v/>
      </c>
      <c r="B72" s="705"/>
      <c r="C72" s="702" t="str">
        <f>'opatření k realizaci'!D32</f>
        <v/>
      </c>
      <c r="D72" s="703"/>
      <c r="E72" s="680" t="str">
        <f>'opatření k realizaci'!E32</f>
        <v/>
      </c>
      <c r="F72" s="681"/>
      <c r="G72" s="682"/>
    </row>
    <row r="73" spans="1:7" ht="42" customHeight="1">
      <c r="A73" s="704" t="str">
        <f>'opatření k realizaci'!C33</f>
        <v/>
      </c>
      <c r="B73" s="705"/>
      <c r="C73" s="702" t="str">
        <f>'opatření k realizaci'!D33</f>
        <v/>
      </c>
      <c r="D73" s="703"/>
      <c r="E73" s="680" t="str">
        <f>'opatření k realizaci'!E33</f>
        <v/>
      </c>
      <c r="F73" s="681"/>
      <c r="G73" s="682"/>
    </row>
    <row r="74" spans="1:7" ht="42" customHeight="1">
      <c r="A74" s="704" t="str">
        <f>'opatření k realizaci'!C34</f>
        <v/>
      </c>
      <c r="B74" s="705"/>
      <c r="C74" s="702" t="str">
        <f>'opatření k realizaci'!D34</f>
        <v/>
      </c>
      <c r="D74" s="703"/>
      <c r="E74" s="680" t="str">
        <f>'opatření k realizaci'!E34</f>
        <v/>
      </c>
      <c r="F74" s="681"/>
      <c r="G74" s="682"/>
    </row>
    <row r="75" spans="1:7" ht="42" customHeight="1">
      <c r="A75" s="499"/>
      <c r="B75" s="499"/>
      <c r="C75" s="500"/>
      <c r="D75" s="500"/>
      <c r="E75" s="501"/>
      <c r="F75" s="501"/>
      <c r="G75" s="501"/>
    </row>
    <row r="76" spans="1:7" ht="42" customHeight="1">
      <c r="A76" s="499"/>
      <c r="B76" s="499"/>
      <c r="C76" s="500"/>
      <c r="D76" s="500"/>
      <c r="E76" s="501"/>
      <c r="F76" s="501"/>
      <c r="G76" s="501"/>
    </row>
    <row r="77" spans="1:7" ht="42" customHeight="1">
      <c r="A77" s="683" t="s">
        <v>810</v>
      </c>
      <c r="B77" s="684"/>
      <c r="C77" s="684"/>
      <c r="D77" s="684"/>
      <c r="E77" s="685"/>
      <c r="F77" s="502">
        <f>G48</f>
        <v>0</v>
      </c>
      <c r="G77" s="503" t="s">
        <v>1</v>
      </c>
    </row>
    <row r="78" spans="1:7" ht="42" customHeight="1">
      <c r="A78" s="683" t="s">
        <v>798</v>
      </c>
      <c r="B78" s="684"/>
      <c r="C78" s="684"/>
      <c r="D78" s="684"/>
      <c r="E78" s="685"/>
      <c r="F78" s="708">
        <f>F40</f>
        <v>0</v>
      </c>
      <c r="G78" s="709"/>
    </row>
    <row r="79" spans="1:7" ht="42" customHeight="1">
      <c r="A79" s="683" t="s">
        <v>861</v>
      </c>
      <c r="B79" s="684"/>
      <c r="C79" s="684"/>
      <c r="D79" s="684"/>
      <c r="E79" s="685"/>
      <c r="F79" s="504">
        <f>G51</f>
        <v>0</v>
      </c>
      <c r="G79" s="503" t="s">
        <v>2</v>
      </c>
    </row>
    <row r="80" spans="1:7" ht="42" customHeight="1">
      <c r="A80" s="683" t="s">
        <v>860</v>
      </c>
      <c r="B80" s="684"/>
      <c r="C80" s="684"/>
      <c r="D80" s="684"/>
      <c r="E80" s="685"/>
      <c r="F80" s="505">
        <f>IFERROR(F40/G51,0)</f>
        <v>0</v>
      </c>
      <c r="G80" s="506" t="s">
        <v>471</v>
      </c>
    </row>
    <row r="81" spans="1:7" ht="84.75" customHeight="1">
      <c r="A81" s="507"/>
      <c r="B81" s="507"/>
      <c r="C81" s="507"/>
      <c r="D81" s="507"/>
      <c r="E81" s="507"/>
      <c r="F81" s="507"/>
      <c r="G81" s="455"/>
    </row>
    <row r="82" spans="1:7" ht="125.25" customHeight="1">
      <c r="A82" s="674" t="s">
        <v>796</v>
      </c>
      <c r="B82" s="674"/>
      <c r="C82" s="674"/>
      <c r="D82" s="674"/>
      <c r="E82" s="674"/>
      <c r="F82" s="674"/>
      <c r="G82" s="674"/>
    </row>
    <row r="83" spans="1:7" ht="42" customHeight="1">
      <c r="A83" s="674" t="s">
        <v>797</v>
      </c>
      <c r="B83" s="674"/>
      <c r="C83" s="674"/>
      <c r="D83" s="674"/>
      <c r="E83" s="674"/>
      <c r="F83" s="674"/>
      <c r="G83" s="674"/>
    </row>
    <row r="84" spans="1:7" ht="42" customHeight="1">
      <c r="A84" s="499"/>
      <c r="B84" s="499"/>
      <c r="C84" s="500"/>
      <c r="D84" s="500"/>
      <c r="E84" s="508"/>
      <c r="F84" s="508"/>
      <c r="G84" s="455"/>
    </row>
    <row r="85" spans="1:7" ht="22.15" customHeight="1">
      <c r="A85" s="499"/>
      <c r="B85" s="499"/>
      <c r="C85" s="500"/>
      <c r="D85" s="500"/>
      <c r="E85" s="508"/>
      <c r="F85" s="508"/>
      <c r="G85" s="455"/>
    </row>
    <row r="86" spans="1:7" ht="22.15" customHeight="1">
      <c r="A86" s="455"/>
      <c r="B86" s="455"/>
      <c r="C86" s="455"/>
      <c r="D86" s="509"/>
      <c r="E86" s="509"/>
      <c r="F86" s="509"/>
      <c r="G86" s="455"/>
    </row>
    <row r="87" spans="1:7" ht="19.149999999999999" customHeight="1">
      <c r="A87" s="455"/>
      <c r="B87" s="455"/>
      <c r="C87" s="510"/>
      <c r="D87" s="511"/>
      <c r="E87" s="512"/>
      <c r="F87" s="512"/>
      <c r="G87" s="455"/>
    </row>
    <row r="88" spans="1:7">
      <c r="A88" s="455"/>
      <c r="B88" s="455"/>
      <c r="C88" s="224"/>
      <c r="D88" s="224"/>
      <c r="E88" s="224"/>
      <c r="F88" s="510"/>
      <c r="G88" s="455"/>
    </row>
    <row r="89" spans="1:7">
      <c r="A89" s="513" t="s">
        <v>501</v>
      </c>
      <c r="B89" s="480">
        <f ca="1">TODAY()</f>
        <v>44649</v>
      </c>
      <c r="C89" s="510"/>
      <c r="D89" s="659"/>
      <c r="E89" s="659"/>
      <c r="F89" s="659"/>
      <c r="G89" s="455"/>
    </row>
    <row r="90" spans="1:7">
      <c r="A90" s="455"/>
      <c r="B90" s="455"/>
      <c r="C90" s="455"/>
      <c r="D90" s="660" t="s">
        <v>811</v>
      </c>
      <c r="E90" s="660"/>
      <c r="F90" s="660"/>
      <c r="G90" s="455"/>
    </row>
    <row r="91" spans="1:7">
      <c r="A91" s="455"/>
      <c r="B91" s="455"/>
      <c r="C91" s="455"/>
      <c r="D91" s="455"/>
      <c r="E91" s="455"/>
      <c r="F91" s="455"/>
      <c r="G91" s="455"/>
    </row>
    <row r="92" spans="1:7">
      <c r="A92" s="455"/>
      <c r="B92" s="455"/>
      <c r="C92" s="455"/>
      <c r="D92" s="455"/>
      <c r="E92" s="455"/>
      <c r="F92" s="455"/>
      <c r="G92" s="455"/>
    </row>
    <row r="93" spans="1:7">
      <c r="A93" s="455"/>
      <c r="B93" s="455"/>
      <c r="C93" s="455"/>
      <c r="D93" s="455"/>
      <c r="E93" s="455"/>
      <c r="F93" s="455"/>
      <c r="G93" s="455"/>
    </row>
    <row r="94" spans="1:7">
      <c r="A94" s="455"/>
      <c r="B94" s="455"/>
      <c r="C94" s="455"/>
      <c r="D94" s="455"/>
      <c r="E94" s="455"/>
      <c r="F94" s="455"/>
      <c r="G94" s="455"/>
    </row>
    <row r="95" spans="1:7">
      <c r="A95" s="455"/>
      <c r="B95" s="455"/>
      <c r="C95" s="455"/>
      <c r="D95" s="455"/>
      <c r="E95" s="455"/>
      <c r="F95" s="455"/>
      <c r="G95" s="455"/>
    </row>
    <row r="96" spans="1:7">
      <c r="A96" s="455"/>
      <c r="B96" s="455"/>
      <c r="C96" s="455"/>
      <c r="D96" s="455"/>
      <c r="E96" s="455"/>
      <c r="F96" s="455"/>
      <c r="G96" s="455"/>
    </row>
    <row r="97" spans="1:7">
      <c r="A97" s="455"/>
      <c r="B97" s="455"/>
      <c r="C97" s="455"/>
      <c r="D97" s="455"/>
      <c r="E97" s="455"/>
      <c r="F97" s="455"/>
      <c r="G97" s="455"/>
    </row>
    <row r="98" spans="1:7">
      <c r="A98" s="455"/>
      <c r="B98" s="455"/>
      <c r="C98" s="455"/>
      <c r="D98" s="455"/>
      <c r="E98" s="455"/>
      <c r="F98" s="455"/>
      <c r="G98" s="455"/>
    </row>
    <row r="99" spans="1:7">
      <c r="A99" s="455"/>
      <c r="B99" s="455"/>
      <c r="C99" s="455"/>
      <c r="D99" s="455"/>
      <c r="E99" s="455"/>
      <c r="F99" s="455"/>
      <c r="G99" s="455"/>
    </row>
    <row r="100" spans="1:7">
      <c r="A100" s="455"/>
      <c r="B100" s="455"/>
      <c r="C100" s="455"/>
      <c r="D100" s="455"/>
      <c r="E100" s="455"/>
      <c r="F100" s="455"/>
      <c r="G100" s="455"/>
    </row>
    <row r="101" spans="1:7">
      <c r="A101" s="455"/>
      <c r="B101" s="455"/>
      <c r="C101" s="455"/>
      <c r="D101" s="455"/>
      <c r="E101" s="455"/>
      <c r="F101" s="455"/>
      <c r="G101" s="455"/>
    </row>
    <row r="102" spans="1:7">
      <c r="A102" s="455"/>
      <c r="B102" s="455"/>
      <c r="C102" s="455"/>
      <c r="D102" s="455"/>
      <c r="E102" s="455"/>
      <c r="F102" s="455"/>
      <c r="G102" s="455"/>
    </row>
    <row r="103" spans="1:7">
      <c r="A103" s="455"/>
      <c r="B103" s="455"/>
      <c r="C103" s="455"/>
      <c r="D103" s="455"/>
      <c r="E103" s="455"/>
      <c r="F103" s="455"/>
      <c r="G103" s="455"/>
    </row>
    <row r="104" spans="1:7">
      <c r="A104" s="455"/>
      <c r="B104" s="455"/>
      <c r="C104" s="455"/>
      <c r="D104" s="455"/>
      <c r="E104" s="455"/>
      <c r="F104" s="455"/>
      <c r="G104" s="455"/>
    </row>
    <row r="105" spans="1:7">
      <c r="A105" s="455"/>
      <c r="B105" s="455"/>
      <c r="C105" s="455"/>
      <c r="D105" s="455"/>
      <c r="E105" s="455"/>
      <c r="F105" s="455"/>
      <c r="G105" s="455"/>
    </row>
    <row r="106" spans="1:7">
      <c r="A106" s="455"/>
      <c r="B106" s="455"/>
      <c r="C106" s="455"/>
      <c r="D106" s="455"/>
      <c r="E106" s="455"/>
      <c r="F106" s="455"/>
      <c r="G106" s="455"/>
    </row>
    <row r="107" spans="1:7">
      <c r="A107" s="455"/>
      <c r="B107" s="455"/>
      <c r="C107" s="455"/>
      <c r="D107" s="455"/>
      <c r="E107" s="455"/>
      <c r="F107" s="455"/>
      <c r="G107" s="455"/>
    </row>
    <row r="108" spans="1:7">
      <c r="A108" s="455"/>
      <c r="B108" s="455"/>
      <c r="C108" s="455"/>
      <c r="D108" s="455"/>
      <c r="E108" s="455"/>
      <c r="F108" s="455"/>
      <c r="G108" s="455"/>
    </row>
    <row r="109" spans="1:7">
      <c r="A109" s="455"/>
      <c r="B109" s="455"/>
      <c r="C109" s="455"/>
      <c r="D109" s="455"/>
      <c r="E109" s="455"/>
      <c r="F109" s="455"/>
      <c r="G109" s="455"/>
    </row>
    <row r="110" spans="1:7">
      <c r="A110" s="455"/>
      <c r="B110" s="455"/>
      <c r="C110" s="455"/>
      <c r="D110" s="455"/>
      <c r="E110" s="455"/>
      <c r="F110" s="455"/>
      <c r="G110" s="455"/>
    </row>
    <row r="111" spans="1:7">
      <c r="A111" s="455"/>
      <c r="B111" s="455"/>
      <c r="C111" s="455"/>
      <c r="D111" s="455"/>
      <c r="E111" s="455"/>
      <c r="F111" s="455"/>
      <c r="G111" s="455"/>
    </row>
    <row r="112" spans="1:7">
      <c r="A112" s="455"/>
      <c r="B112" s="455"/>
      <c r="C112" s="455"/>
      <c r="D112" s="455"/>
      <c r="E112" s="455"/>
      <c r="F112" s="455"/>
      <c r="G112" s="455"/>
    </row>
    <row r="113" spans="1:7">
      <c r="A113" s="455"/>
      <c r="B113" s="455"/>
      <c r="C113" s="455"/>
      <c r="D113" s="455"/>
      <c r="E113" s="455"/>
      <c r="F113" s="455"/>
      <c r="G113" s="455"/>
    </row>
    <row r="114" spans="1:7">
      <c r="A114" s="455"/>
      <c r="B114" s="455"/>
      <c r="C114" s="455"/>
      <c r="D114" s="455"/>
      <c r="E114" s="455"/>
      <c r="F114" s="455"/>
      <c r="G114" s="455"/>
    </row>
    <row r="115" spans="1:7">
      <c r="A115" s="455"/>
      <c r="B115" s="455"/>
      <c r="C115" s="455"/>
      <c r="D115" s="455"/>
      <c r="E115" s="455"/>
      <c r="F115" s="455"/>
      <c r="G115" s="455"/>
    </row>
    <row r="116" spans="1:7">
      <c r="A116" s="455"/>
      <c r="B116" s="455"/>
      <c r="C116" s="455"/>
      <c r="D116" s="455"/>
      <c r="E116" s="455"/>
      <c r="F116" s="455"/>
      <c r="G116" s="455"/>
    </row>
    <row r="117" spans="1:7">
      <c r="A117" s="455"/>
      <c r="B117" s="455"/>
      <c r="C117" s="455"/>
      <c r="D117" s="455"/>
      <c r="E117" s="455"/>
      <c r="F117" s="455"/>
      <c r="G117" s="455"/>
    </row>
    <row r="118" spans="1:7">
      <c r="A118" s="455"/>
      <c r="B118" s="455"/>
      <c r="C118" s="455"/>
      <c r="D118" s="455"/>
      <c r="E118" s="455"/>
      <c r="F118" s="455"/>
      <c r="G118" s="455"/>
    </row>
    <row r="119" spans="1:7">
      <c r="A119" s="455"/>
      <c r="B119" s="455"/>
      <c r="C119" s="455"/>
      <c r="D119" s="455"/>
      <c r="E119" s="455"/>
      <c r="F119" s="455"/>
      <c r="G119" s="455"/>
    </row>
    <row r="120" spans="1:7">
      <c r="A120" s="455"/>
      <c r="B120" s="455"/>
      <c r="C120" s="455"/>
      <c r="D120" s="455"/>
      <c r="E120" s="455"/>
      <c r="F120" s="455"/>
      <c r="G120" s="455"/>
    </row>
    <row r="121" spans="1:7">
      <c r="A121" s="455"/>
      <c r="B121" s="455"/>
      <c r="C121" s="455"/>
      <c r="D121" s="455"/>
      <c r="E121" s="455"/>
      <c r="F121" s="455"/>
      <c r="G121" s="455"/>
    </row>
    <row r="122" spans="1:7">
      <c r="A122" s="455"/>
      <c r="B122" s="455"/>
      <c r="C122" s="455"/>
      <c r="D122" s="455"/>
      <c r="E122" s="455"/>
      <c r="F122" s="455"/>
      <c r="G122" s="455"/>
    </row>
    <row r="123" spans="1:7">
      <c r="A123" s="455"/>
      <c r="B123" s="455"/>
      <c r="C123" s="455"/>
      <c r="D123" s="455"/>
      <c r="E123" s="455"/>
      <c r="F123" s="455"/>
      <c r="G123" s="455"/>
    </row>
    <row r="124" spans="1:7">
      <c r="A124" s="455"/>
      <c r="B124" s="455"/>
      <c r="C124" s="455"/>
      <c r="D124" s="455"/>
      <c r="E124" s="455"/>
      <c r="F124" s="455"/>
      <c r="G124" s="455"/>
    </row>
    <row r="125" spans="1:7">
      <c r="A125" s="455"/>
      <c r="B125" s="455"/>
      <c r="C125" s="455"/>
      <c r="D125" s="455"/>
      <c r="E125" s="455"/>
      <c r="F125" s="455"/>
      <c r="G125" s="455"/>
    </row>
    <row r="126" spans="1:7">
      <c r="A126" s="455"/>
      <c r="B126" s="455"/>
      <c r="C126" s="455"/>
      <c r="D126" s="455"/>
      <c r="E126" s="455"/>
      <c r="F126" s="455"/>
      <c r="G126" s="455"/>
    </row>
  </sheetData>
  <mergeCells count="114">
    <mergeCell ref="A79:E79"/>
    <mergeCell ref="A55:F55"/>
    <mergeCell ref="A54:F54"/>
    <mergeCell ref="A53:F53"/>
    <mergeCell ref="A28:D28"/>
    <mergeCell ref="A15:D16"/>
    <mergeCell ref="E15:G15"/>
    <mergeCell ref="E66:G66"/>
    <mergeCell ref="A22:D22"/>
    <mergeCell ref="A78:E78"/>
    <mergeCell ref="A77:E77"/>
    <mergeCell ref="A43:E43"/>
    <mergeCell ref="A44:E44"/>
    <mergeCell ref="A45:E45"/>
    <mergeCell ref="C60:D60"/>
    <mergeCell ref="E69:G69"/>
    <mergeCell ref="E70:G70"/>
    <mergeCell ref="E71:G71"/>
    <mergeCell ref="F37:G37"/>
    <mergeCell ref="F38:G38"/>
    <mergeCell ref="F39:G39"/>
    <mergeCell ref="A37:E37"/>
    <mergeCell ref="A38:E38"/>
    <mergeCell ref="A39:E39"/>
    <mergeCell ref="A71:B71"/>
    <mergeCell ref="A72:B72"/>
    <mergeCell ref="A73:B73"/>
    <mergeCell ref="F78:G78"/>
    <mergeCell ref="A30:D30"/>
    <mergeCell ref="C64:D64"/>
    <mergeCell ref="A27:D27"/>
    <mergeCell ref="C70:D70"/>
    <mergeCell ref="C73:D73"/>
    <mergeCell ref="A66:B66"/>
    <mergeCell ref="A67:B67"/>
    <mergeCell ref="A68:B68"/>
    <mergeCell ref="A69:B69"/>
    <mergeCell ref="A70:B70"/>
    <mergeCell ref="A61:B61"/>
    <mergeCell ref="A62:B62"/>
    <mergeCell ref="A63:B63"/>
    <mergeCell ref="E72:G72"/>
    <mergeCell ref="E73:G73"/>
    <mergeCell ref="E74:G74"/>
    <mergeCell ref="A64:B64"/>
    <mergeCell ref="A65:B65"/>
    <mergeCell ref="E63:G63"/>
    <mergeCell ref="E64:G64"/>
    <mergeCell ref="C63:D63"/>
    <mergeCell ref="C65:D65"/>
    <mergeCell ref="A8:C8"/>
    <mergeCell ref="A9:C9"/>
    <mergeCell ref="A10:C10"/>
    <mergeCell ref="A11:C11"/>
    <mergeCell ref="F40:G40"/>
    <mergeCell ref="E68:G68"/>
    <mergeCell ref="A49:E49"/>
    <mergeCell ref="A50:F50"/>
    <mergeCell ref="A51:F51"/>
    <mergeCell ref="A52:F52"/>
    <mergeCell ref="E65:G65"/>
    <mergeCell ref="A56:F56"/>
    <mergeCell ref="E67:G67"/>
    <mergeCell ref="A48:E48"/>
    <mergeCell ref="A47:E47"/>
    <mergeCell ref="A33:D33"/>
    <mergeCell ref="D7:G7"/>
    <mergeCell ref="A29:D29"/>
    <mergeCell ref="A31:D31"/>
    <mergeCell ref="A32:D32"/>
    <mergeCell ref="A80:E80"/>
    <mergeCell ref="A17:D17"/>
    <mergeCell ref="A18:D18"/>
    <mergeCell ref="A19:D19"/>
    <mergeCell ref="A24:D24"/>
    <mergeCell ref="A20:D20"/>
    <mergeCell ref="A25:D25"/>
    <mergeCell ref="A23:D23"/>
    <mergeCell ref="A21:D21"/>
    <mergeCell ref="A26:D26"/>
    <mergeCell ref="C69:D69"/>
    <mergeCell ref="C74:D74"/>
    <mergeCell ref="C71:D71"/>
    <mergeCell ref="C72:D72"/>
    <mergeCell ref="C66:D66"/>
    <mergeCell ref="C68:D68"/>
    <mergeCell ref="A74:B74"/>
    <mergeCell ref="C61:D61"/>
    <mergeCell ref="A34:D34"/>
    <mergeCell ref="C62:D62"/>
    <mergeCell ref="D89:F89"/>
    <mergeCell ref="D90:F90"/>
    <mergeCell ref="A2:G2"/>
    <mergeCell ref="A3:G3"/>
    <mergeCell ref="A13:G13"/>
    <mergeCell ref="D6:G6"/>
    <mergeCell ref="D8:G8"/>
    <mergeCell ref="D9:G9"/>
    <mergeCell ref="D10:G10"/>
    <mergeCell ref="D11:G11"/>
    <mergeCell ref="D5:G5"/>
    <mergeCell ref="A83:G83"/>
    <mergeCell ref="A82:G82"/>
    <mergeCell ref="E60:G60"/>
    <mergeCell ref="E61:G61"/>
    <mergeCell ref="E62:G62"/>
    <mergeCell ref="A46:E46"/>
    <mergeCell ref="A36:E36"/>
    <mergeCell ref="F36:G36"/>
    <mergeCell ref="A40:E40"/>
    <mergeCell ref="C67:D67"/>
    <mergeCell ref="A5:C5"/>
    <mergeCell ref="A6:C6"/>
    <mergeCell ref="A7:C7"/>
  </mergeCells>
  <conditionalFormatting sqref="G53:G55">
    <cfRule type="cellIs" dxfId="16" priority="2" operator="greaterThan">
      <formula>10</formula>
    </cfRule>
  </conditionalFormatting>
  <pageMargins left="1.1190476190476191" right="0.7" top="0.75" bottom="0.75" header="0.3" footer="0.3"/>
  <pageSetup paperSize="9" scale="80" orientation="portrait" r:id="rId1"/>
  <headerFooter>
    <oddFooter>&amp;R&amp;P</oddFooter>
  </headerFooter>
  <rowBreaks count="1" manualBreakCount="1">
    <brk id="5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5152" r:id="rId4" name="Button 32">
              <controlPr defaultSize="0" print="0" autoFill="0" autoPict="0" macro="[0]!Tisk">
                <anchor moveWithCells="1">
                  <from>
                    <xdr:col>0</xdr:col>
                    <xdr:colOff>66675</xdr:colOff>
                    <xdr:row>92</xdr:row>
                    <xdr:rowOff>104775</xdr:rowOff>
                  </from>
                  <to>
                    <xdr:col>3</xdr:col>
                    <xdr:colOff>447675</xdr:colOff>
                    <xdr:row>96</xdr:row>
                    <xdr:rowOff>47625</xdr:rowOff>
                  </to>
                </anchor>
              </controlPr>
            </control>
          </mc:Choice>
        </mc:AlternateContent>
        <mc:AlternateContent xmlns:mc="http://schemas.openxmlformats.org/markup-compatibility/2006">
          <mc:Choice Requires="x14">
            <control shapeId="5153" r:id="rId5" name="Button 33">
              <controlPr defaultSize="0" print="0" autoFill="0" autoPict="0" macro="[0]!TiskDoPdf">
                <anchor moveWithCells="1">
                  <from>
                    <xdr:col>3</xdr:col>
                    <xdr:colOff>676275</xdr:colOff>
                    <xdr:row>92</xdr:row>
                    <xdr:rowOff>104775</xdr:rowOff>
                  </from>
                  <to>
                    <xdr:col>5</xdr:col>
                    <xdr:colOff>838200</xdr:colOff>
                    <xdr:row>96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45B6CD40-3388-4849-B3D7-3C8A569F0000}">
            <xm:f>NOT(OR(parametry!$B$109,parametry!$B$110,parametry!$B$111))</xm:f>
            <x14:dxf>
              <font>
                <color theme="0"/>
              </font>
              <fill>
                <patternFill>
                  <bgColor theme="0"/>
                </patternFill>
              </fill>
              <border>
                <left/>
                <right/>
                <top/>
                <bottom/>
              </border>
            </x14:dxf>
          </x14:cfRule>
          <xm:sqref>B57:D59 G56 A44 A7:B11 D6:D11 G50 F44:G48</xm:sqref>
        </x14:conditionalFormatting>
        <x14:conditionalFormatting xmlns:xm="http://schemas.microsoft.com/office/excel/2006/main">
          <x14:cfRule type="expression" priority="24" id="{69B1AFF3-F290-42AB-8B6E-7FA42CE0E6BA}">
            <xm:f>NOT(OR(parametry!$B$109,parametry!$B$110,parametry!$B$111))</xm:f>
            <x14:dxf>
              <font>
                <color theme="0"/>
              </font>
              <fill>
                <patternFill>
                  <bgColor theme="0"/>
                </patternFill>
              </fill>
              <border>
                <left/>
                <right/>
                <top/>
                <bottom/>
              </border>
            </x14:dxf>
          </x14:cfRule>
          <xm:sqref>G51:G52</xm:sqref>
        </x14:conditionalFormatting>
        <x14:conditionalFormatting xmlns:xm="http://schemas.microsoft.com/office/excel/2006/main">
          <x14:cfRule type="expression" priority="20" id="{257A675A-66E0-4376-A74C-E24E3625F8F8}">
            <xm:f>NOT(OR(parametry!$B$109,parametry!$B$110,parametry!$B$111))</xm:f>
            <x14:dxf>
              <font>
                <color theme="0"/>
              </font>
              <fill>
                <patternFill>
                  <bgColor theme="0"/>
                </patternFill>
              </fill>
              <border>
                <left/>
                <right/>
                <top/>
                <bottom/>
              </border>
            </x14:dxf>
          </x14:cfRule>
          <xm:sqref>A6:B6</xm:sqref>
        </x14:conditionalFormatting>
        <x14:conditionalFormatting xmlns:xm="http://schemas.microsoft.com/office/excel/2006/main">
          <x14:cfRule type="expression" priority="16" id="{431A3F8A-ECD0-4F74-92B0-A98EA4470E4A}">
            <xm:f>NOT(OR(parametry!$B$109,parametry!$B$110,parametry!$B$111))</xm:f>
            <x14:dxf>
              <font>
                <color theme="0"/>
              </font>
              <fill>
                <patternFill>
                  <bgColor theme="0"/>
                </patternFill>
              </fill>
              <border>
                <left/>
                <right/>
                <top/>
                <bottom/>
              </border>
            </x14:dxf>
          </x14:cfRule>
          <xm:sqref>A45</xm:sqref>
        </x14:conditionalFormatting>
        <x14:conditionalFormatting xmlns:xm="http://schemas.microsoft.com/office/excel/2006/main">
          <x14:cfRule type="expression" priority="15" id="{10380B34-667B-4CD6-94CB-1F183DD6E5B0}">
            <xm:f>NOT(OR(parametry!$B$109,parametry!$B$110,parametry!$B$111))</xm:f>
            <x14:dxf>
              <font>
                <color theme="0"/>
              </font>
              <fill>
                <patternFill>
                  <bgColor theme="0"/>
                </patternFill>
              </fill>
              <border>
                <left/>
                <right/>
                <top/>
                <bottom/>
              </border>
            </x14:dxf>
          </x14:cfRule>
          <xm:sqref>A46 A48</xm:sqref>
        </x14:conditionalFormatting>
        <x14:conditionalFormatting xmlns:xm="http://schemas.microsoft.com/office/excel/2006/main">
          <x14:cfRule type="expression" priority="14" id="{3970C603-EF28-4CBD-A991-036D2DA43FAC}">
            <xm:f>NOT(OR(parametry!$B$109,parametry!$B$110,parametry!$B$111))</xm:f>
            <x14:dxf>
              <font>
                <color theme="0"/>
              </font>
              <fill>
                <patternFill>
                  <bgColor theme="0"/>
                </patternFill>
              </fill>
              <border>
                <left/>
                <right/>
                <top/>
                <bottom/>
              </border>
            </x14:dxf>
          </x14:cfRule>
          <xm:sqref>A50</xm:sqref>
        </x14:conditionalFormatting>
        <x14:conditionalFormatting xmlns:xm="http://schemas.microsoft.com/office/excel/2006/main">
          <x14:cfRule type="expression" priority="13" id="{DB849A70-66F6-454B-9B77-1D94FC1D8C59}">
            <xm:f>NOT(OR(parametry!$B$109,parametry!$B$110,parametry!$B$111))</xm:f>
            <x14:dxf>
              <font>
                <color theme="0"/>
              </font>
              <fill>
                <patternFill>
                  <bgColor theme="0"/>
                </patternFill>
              </fill>
              <border>
                <left/>
                <right/>
                <top/>
                <bottom/>
              </border>
            </x14:dxf>
          </x14:cfRule>
          <xm:sqref>A51</xm:sqref>
        </x14:conditionalFormatting>
        <x14:conditionalFormatting xmlns:xm="http://schemas.microsoft.com/office/excel/2006/main">
          <x14:cfRule type="expression" priority="12" id="{6D764D69-85FB-43FE-B612-6FD7D159C788}">
            <xm:f>NOT(OR(parametry!$B$109,parametry!$B$110,parametry!$B$111))</xm:f>
            <x14:dxf>
              <font>
                <color theme="0"/>
              </font>
              <fill>
                <patternFill>
                  <bgColor theme="0"/>
                </patternFill>
              </fill>
              <border>
                <left/>
                <right/>
                <top/>
                <bottom/>
              </border>
            </x14:dxf>
          </x14:cfRule>
          <xm:sqref>A52</xm:sqref>
        </x14:conditionalFormatting>
        <x14:conditionalFormatting xmlns:xm="http://schemas.microsoft.com/office/excel/2006/main">
          <x14:cfRule type="expression" priority="10" id="{E8DA1568-B7E2-4222-A778-5F8F36A2BD13}">
            <xm:f>NOT(OR(parametry!$B$109,parametry!$B$110,parametry!$B$111))</xm:f>
            <x14:dxf>
              <font>
                <color theme="0"/>
              </font>
              <fill>
                <patternFill>
                  <bgColor theme="0"/>
                </patternFill>
              </fill>
              <border>
                <left/>
                <right/>
                <top/>
                <bottom/>
              </border>
            </x14:dxf>
          </x14:cfRule>
          <xm:sqref>A77</xm:sqref>
        </x14:conditionalFormatting>
        <x14:conditionalFormatting xmlns:xm="http://schemas.microsoft.com/office/excel/2006/main">
          <x14:cfRule type="expression" priority="6" id="{61CA211E-FB2F-48F6-ABAB-050FDBBF62BD}">
            <xm:f>NOT(OR(parametry!$B$109,parametry!$B$110,parametry!$B$111))</xm:f>
            <x14:dxf>
              <font>
                <color theme="0"/>
              </font>
              <fill>
                <patternFill>
                  <bgColor theme="0"/>
                </patternFill>
              </fill>
              <border>
                <left/>
                <right/>
                <top/>
                <bottom/>
              </border>
            </x14:dxf>
          </x14:cfRule>
          <xm:sqref>A80</xm:sqref>
        </x14:conditionalFormatting>
        <x14:conditionalFormatting xmlns:xm="http://schemas.microsoft.com/office/excel/2006/main">
          <x14:cfRule type="expression" priority="8" id="{EB5C7496-E641-42F4-99D8-A3D586769DA8}">
            <xm:f>NOT(OR(parametry!$B$109,parametry!$B$110,parametry!$B$111))</xm:f>
            <x14:dxf>
              <font>
                <color theme="0"/>
              </font>
              <fill>
                <patternFill>
                  <bgColor theme="0"/>
                </patternFill>
              </fill>
              <border>
                <left/>
                <right/>
                <top/>
                <bottom/>
              </border>
            </x14:dxf>
          </x14:cfRule>
          <xm:sqref>A78</xm:sqref>
        </x14:conditionalFormatting>
        <x14:conditionalFormatting xmlns:xm="http://schemas.microsoft.com/office/excel/2006/main">
          <x14:cfRule type="expression" priority="7" id="{3540283C-0E78-4FEB-97AE-BC0B75FBC8DF}">
            <xm:f>NOT(OR(parametry!$B$109,parametry!$B$110,parametry!$B$111))</xm:f>
            <x14:dxf>
              <font>
                <color theme="0"/>
              </font>
              <fill>
                <patternFill>
                  <bgColor theme="0"/>
                </patternFill>
              </fill>
              <border>
                <left/>
                <right/>
                <top/>
                <bottom/>
              </border>
            </x14:dxf>
          </x14:cfRule>
          <xm:sqref>A79</xm:sqref>
        </x14:conditionalFormatting>
        <x14:conditionalFormatting xmlns:xm="http://schemas.microsoft.com/office/excel/2006/main">
          <x14:cfRule type="expression" priority="5" id="{6A31726B-FA89-4FBE-A467-E468EB057045}">
            <xm:f>NOT(OR(parametry!$B$109,parametry!$B$110,parametry!$B$111))</xm:f>
            <x14:dxf>
              <font>
                <color theme="0"/>
              </font>
              <fill>
                <patternFill>
                  <bgColor theme="0"/>
                </patternFill>
              </fill>
              <border>
                <left/>
                <right/>
                <top/>
                <bottom/>
              </border>
            </x14:dxf>
          </x14:cfRule>
          <xm:sqref>G53:G55</xm:sqref>
        </x14:conditionalFormatting>
        <x14:conditionalFormatting xmlns:xm="http://schemas.microsoft.com/office/excel/2006/main">
          <x14:cfRule type="expression" priority="4" id="{8063CDD0-4C32-4973-ABCC-E8D0BC153E1E}">
            <xm:f>NOT(OR(parametry!$B$109,parametry!$B$110,parametry!$B$111))</xm:f>
            <x14:dxf>
              <font>
                <color theme="0"/>
              </font>
              <fill>
                <patternFill>
                  <bgColor theme="0"/>
                </patternFill>
              </fill>
              <border>
                <left/>
                <right/>
                <top/>
                <bottom/>
              </border>
            </x14:dxf>
          </x14:cfRule>
          <xm:sqref>A53</xm:sqref>
        </x14:conditionalFormatting>
        <x14:conditionalFormatting xmlns:xm="http://schemas.microsoft.com/office/excel/2006/main">
          <x14:cfRule type="expression" priority="3" id="{8FA0FF4F-3C85-4FAB-ABA7-1F3E8AA8B04F}">
            <xm:f>NOT(OR(parametry!$B$109,parametry!$B$110,parametry!$B$111))</xm:f>
            <x14:dxf>
              <font>
                <color theme="0"/>
              </font>
              <fill>
                <patternFill>
                  <bgColor theme="0"/>
                </patternFill>
              </fill>
              <border>
                <left/>
                <right/>
                <top/>
                <bottom/>
              </border>
            </x14:dxf>
          </x14:cfRule>
          <xm:sqref>A54:A56</xm:sqref>
        </x14:conditionalFormatting>
        <x14:conditionalFormatting xmlns:xm="http://schemas.microsoft.com/office/excel/2006/main">
          <x14:cfRule type="expression" priority="1" id="{84A63EB4-21BF-4738-924D-20EEC6DC8D56}">
            <xm:f>NOT(OR(parametry!$B$109,parametry!$B$110,parametry!$B$111))</xm:f>
            <x14:dxf>
              <font>
                <color theme="0"/>
              </font>
              <fill>
                <patternFill>
                  <bgColor theme="0"/>
                </patternFill>
              </fill>
              <border>
                <left/>
                <right/>
                <top/>
                <bottom/>
              </border>
            </x14:dxf>
          </x14:cfRule>
          <xm:sqref>A47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EK25"/>
  <sheetViews>
    <sheetView zoomScale="85" zoomScaleNormal="85" workbookViewId="0">
      <selection activeCell="H11" sqref="H11"/>
    </sheetView>
  </sheetViews>
  <sheetFormatPr defaultColWidth="9.140625" defaultRowHeight="15"/>
  <cols>
    <col min="1" max="2" width="11.28515625" style="404" bestFit="1" customWidth="1"/>
    <col min="3" max="6" width="9.140625" style="404"/>
    <col min="7" max="10" width="15.7109375" style="404" bestFit="1" customWidth="1"/>
    <col min="11" max="15" width="9.140625" style="404"/>
    <col min="16" max="16" width="17.5703125" style="404" bestFit="1" customWidth="1"/>
    <col min="17" max="25" width="9.140625" style="404"/>
    <col min="26" max="26" width="11.7109375" style="404" customWidth="1"/>
    <col min="27" max="27" width="11.5703125" style="404" customWidth="1"/>
    <col min="28" max="28" width="11.140625" style="404" customWidth="1"/>
    <col min="29" max="29" width="11.7109375" style="404" customWidth="1"/>
    <col min="30" max="30" width="10.42578125" style="404" customWidth="1"/>
    <col min="31" max="31" width="12.85546875" style="404" customWidth="1"/>
    <col min="32" max="132" width="9.140625" style="404"/>
    <col min="133" max="133" width="11.28515625" style="404" bestFit="1" customWidth="1"/>
    <col min="134" max="135" width="9.140625" style="404"/>
    <col min="136" max="136" width="11.28515625" style="404" bestFit="1" customWidth="1"/>
    <col min="137" max="16384" width="9.140625" style="404"/>
  </cols>
  <sheetData>
    <row r="1" spans="1:141" s="481" customFormat="1">
      <c r="A1" s="481" t="s">
        <v>158</v>
      </c>
      <c r="O1" s="481" t="s">
        <v>169</v>
      </c>
      <c r="CH1" s="481" t="s">
        <v>663</v>
      </c>
      <c r="CW1" s="481" t="s">
        <v>157</v>
      </c>
      <c r="DZ1" s="481" t="s">
        <v>158</v>
      </c>
      <c r="EG1" s="481" t="s">
        <v>918</v>
      </c>
    </row>
    <row r="2" spans="1:141" s="482" customFormat="1">
      <c r="O2" s="482" t="s">
        <v>174</v>
      </c>
      <c r="Z2" s="482" t="s">
        <v>444</v>
      </c>
      <c r="AF2" s="482" t="s">
        <v>461</v>
      </c>
      <c r="AN2" s="482" t="s">
        <v>179</v>
      </c>
      <c r="CH2" s="482" t="s">
        <v>216</v>
      </c>
      <c r="CO2" s="482" t="s">
        <v>217</v>
      </c>
      <c r="CW2" s="482" t="s">
        <v>180</v>
      </c>
      <c r="DZ2" s="482" t="s">
        <v>172</v>
      </c>
      <c r="EG2" s="555"/>
      <c r="EH2" s="555"/>
      <c r="EI2" s="555"/>
      <c r="EJ2" s="555"/>
      <c r="EK2" s="555"/>
    </row>
    <row r="3" spans="1:141" s="482" customFormat="1">
      <c r="O3" s="482" t="s">
        <v>27</v>
      </c>
      <c r="P3" s="482" t="s">
        <v>106</v>
      </c>
      <c r="Q3" s="482" t="s">
        <v>242</v>
      </c>
      <c r="R3" s="482" t="s">
        <v>28</v>
      </c>
      <c r="S3" s="482" t="s">
        <v>108</v>
      </c>
      <c r="T3" s="482" t="s">
        <v>109</v>
      </c>
      <c r="U3" s="482" t="s">
        <v>210</v>
      </c>
      <c r="V3" s="482" t="s">
        <v>228</v>
      </c>
      <c r="W3" s="482" t="s">
        <v>229</v>
      </c>
      <c r="X3" s="482" t="s">
        <v>480</v>
      </c>
      <c r="Y3" s="482" t="s">
        <v>481</v>
      </c>
      <c r="Z3" s="482" t="s">
        <v>32</v>
      </c>
      <c r="AA3" s="482" t="s">
        <v>36</v>
      </c>
      <c r="AB3" s="482" t="s">
        <v>111</v>
      </c>
      <c r="AC3" s="482" t="s">
        <v>170</v>
      </c>
      <c r="AD3" s="482" t="s">
        <v>113</v>
      </c>
      <c r="AE3" s="482" t="s">
        <v>464</v>
      </c>
      <c r="AF3" s="482" t="s">
        <v>533</v>
      </c>
      <c r="AG3" s="482" t="s">
        <v>534</v>
      </c>
      <c r="AH3" s="482" t="s">
        <v>535</v>
      </c>
      <c r="AI3" s="482" t="s">
        <v>536</v>
      </c>
      <c r="AJ3" s="482" t="s">
        <v>537</v>
      </c>
      <c r="AK3" s="482" t="s">
        <v>538</v>
      </c>
      <c r="AL3" s="482" t="s">
        <v>539</v>
      </c>
      <c r="AM3" s="482" t="s">
        <v>540</v>
      </c>
      <c r="AN3" s="482" t="s">
        <v>541</v>
      </c>
      <c r="AO3" s="482" t="s">
        <v>542</v>
      </c>
      <c r="AP3" s="482" t="s">
        <v>543</v>
      </c>
      <c r="AQ3" s="482" t="s">
        <v>544</v>
      </c>
      <c r="AR3" s="482" t="s">
        <v>545</v>
      </c>
      <c r="AS3" s="482" t="s">
        <v>546</v>
      </c>
      <c r="AT3" s="482" t="s">
        <v>547</v>
      </c>
      <c r="AU3" s="482" t="s">
        <v>548</v>
      </c>
      <c r="AV3" s="482" t="s">
        <v>549</v>
      </c>
      <c r="AW3" s="482" t="s">
        <v>550</v>
      </c>
      <c r="AX3" s="482" t="s">
        <v>551</v>
      </c>
      <c r="AY3" s="482" t="s">
        <v>552</v>
      </c>
      <c r="AZ3" s="482" t="s">
        <v>553</v>
      </c>
      <c r="BA3" s="482" t="s">
        <v>554</v>
      </c>
      <c r="BB3" s="482" t="s">
        <v>555</v>
      </c>
      <c r="BC3" s="482" t="s">
        <v>556</v>
      </c>
      <c r="BD3" s="482" t="s">
        <v>557</v>
      </c>
      <c r="BE3" s="482" t="s">
        <v>558</v>
      </c>
      <c r="BF3" s="482" t="s">
        <v>559</v>
      </c>
      <c r="BG3" s="482" t="s">
        <v>560</v>
      </c>
      <c r="BH3" s="482" t="s">
        <v>561</v>
      </c>
      <c r="BI3" s="482" t="s">
        <v>562</v>
      </c>
      <c r="BJ3" s="482" t="s">
        <v>563</v>
      </c>
      <c r="BK3" s="482" t="s">
        <v>564</v>
      </c>
      <c r="BL3" s="482" t="s">
        <v>565</v>
      </c>
      <c r="BM3" s="482" t="s">
        <v>566</v>
      </c>
      <c r="BN3" s="482" t="s">
        <v>567</v>
      </c>
      <c r="BO3" s="482" t="s">
        <v>568</v>
      </c>
      <c r="BP3" s="482" t="s">
        <v>569</v>
      </c>
      <c r="BQ3" s="482" t="s">
        <v>570</v>
      </c>
      <c r="BR3" s="482" t="s">
        <v>571</v>
      </c>
      <c r="BS3" s="482" t="s">
        <v>572</v>
      </c>
      <c r="BT3" s="482" t="s">
        <v>573</v>
      </c>
      <c r="BU3" s="482" t="s">
        <v>574</v>
      </c>
      <c r="BV3" s="482" t="s">
        <v>575</v>
      </c>
      <c r="BW3" s="482" t="s">
        <v>576</v>
      </c>
      <c r="BX3" s="482" t="s">
        <v>577</v>
      </c>
      <c r="BY3" s="482" t="s">
        <v>581</v>
      </c>
      <c r="BZ3" s="482" t="s">
        <v>582</v>
      </c>
      <c r="CA3" s="482" t="s">
        <v>583</v>
      </c>
      <c r="CB3" s="482" t="s">
        <v>584</v>
      </c>
      <c r="CC3" s="482" t="s">
        <v>585</v>
      </c>
      <c r="CD3" s="482" t="s">
        <v>578</v>
      </c>
      <c r="CE3" s="482" t="s">
        <v>579</v>
      </c>
      <c r="CF3" s="482" t="s">
        <v>580</v>
      </c>
      <c r="CH3" s="482" t="s">
        <v>27</v>
      </c>
      <c r="CI3" s="482" t="s">
        <v>106</v>
      </c>
      <c r="CJ3" s="482" t="s">
        <v>29</v>
      </c>
      <c r="CK3" s="482" t="s">
        <v>28</v>
      </c>
      <c r="CL3" s="482" t="s">
        <v>108</v>
      </c>
      <c r="CM3" s="482" t="s">
        <v>109</v>
      </c>
      <c r="CN3" s="482" t="s">
        <v>210</v>
      </c>
      <c r="CO3" s="482" t="s">
        <v>32</v>
      </c>
      <c r="CP3" s="482" t="s">
        <v>36</v>
      </c>
      <c r="CQ3" s="482" t="s">
        <v>111</v>
      </c>
      <c r="CR3" s="482" t="s">
        <v>170</v>
      </c>
      <c r="CS3" s="482" t="s">
        <v>113</v>
      </c>
      <c r="CT3" s="482" t="s">
        <v>464</v>
      </c>
      <c r="CU3" s="482" t="s">
        <v>465</v>
      </c>
      <c r="CV3" s="482" t="s">
        <v>619</v>
      </c>
      <c r="CW3" s="482" t="s">
        <v>592</v>
      </c>
      <c r="CX3" s="482" t="s">
        <v>593</v>
      </c>
      <c r="CY3" s="482" t="s">
        <v>594</v>
      </c>
      <c r="CZ3" s="482" t="s">
        <v>595</v>
      </c>
      <c r="DA3" s="482" t="s">
        <v>596</v>
      </c>
      <c r="DB3" s="482" t="s">
        <v>597</v>
      </c>
      <c r="DC3" s="482" t="s">
        <v>598</v>
      </c>
      <c r="DD3" s="482" t="s">
        <v>599</v>
      </c>
      <c r="DE3" s="482" t="s">
        <v>600</v>
      </c>
      <c r="DF3" s="482" t="s">
        <v>601</v>
      </c>
      <c r="DG3" s="483" t="s">
        <v>602</v>
      </c>
      <c r="DH3" s="483" t="s">
        <v>603</v>
      </c>
      <c r="DI3" s="483" t="s">
        <v>604</v>
      </c>
      <c r="DJ3" s="483" t="s">
        <v>605</v>
      </c>
      <c r="DK3" s="483" t="s">
        <v>606</v>
      </c>
      <c r="DL3" s="482" t="s">
        <v>607</v>
      </c>
      <c r="DM3" s="482" t="s">
        <v>608</v>
      </c>
      <c r="DN3" s="482" t="s">
        <v>609</v>
      </c>
      <c r="DO3" s="482" t="s">
        <v>610</v>
      </c>
      <c r="DP3" s="482" t="s">
        <v>611</v>
      </c>
      <c r="DQ3" s="482" t="s">
        <v>612</v>
      </c>
      <c r="DR3" s="482" t="s">
        <v>613</v>
      </c>
      <c r="DS3" s="482" t="s">
        <v>614</v>
      </c>
      <c r="DT3" s="482" t="s">
        <v>615</v>
      </c>
      <c r="DU3" s="482" t="s">
        <v>616</v>
      </c>
      <c r="DV3" s="482" t="s">
        <v>617</v>
      </c>
      <c r="DW3" s="482" t="s">
        <v>618</v>
      </c>
      <c r="DX3" s="482" t="s">
        <v>36</v>
      </c>
      <c r="DY3" s="482" t="s">
        <v>111</v>
      </c>
      <c r="EG3" s="555">
        <v>1.1000000000000001</v>
      </c>
      <c r="EH3" s="555">
        <v>1.2</v>
      </c>
      <c r="EI3" s="555">
        <v>1.3</v>
      </c>
      <c r="EJ3" s="556" t="s">
        <v>933</v>
      </c>
      <c r="EK3" s="555" t="s">
        <v>932</v>
      </c>
    </row>
    <row r="4" spans="1:141" s="484" customFormat="1" ht="225">
      <c r="A4" s="484" t="s">
        <v>191</v>
      </c>
      <c r="B4" s="484" t="s">
        <v>192</v>
      </c>
      <c r="C4" s="484" t="s">
        <v>456</v>
      </c>
      <c r="D4" s="484" t="s">
        <v>787</v>
      </c>
      <c r="E4" s="484" t="s">
        <v>788</v>
      </c>
      <c r="F4" s="484" t="s">
        <v>231</v>
      </c>
      <c r="G4" s="484" t="s">
        <v>806</v>
      </c>
      <c r="H4" s="484" t="s">
        <v>808</v>
      </c>
      <c r="I4" s="484" t="s">
        <v>803</v>
      </c>
      <c r="J4" s="484" t="s">
        <v>440</v>
      </c>
      <c r="K4" s="484" t="s">
        <v>215</v>
      </c>
      <c r="L4" s="484" t="s">
        <v>632</v>
      </c>
      <c r="M4" s="484" t="s">
        <v>633</v>
      </c>
      <c r="N4" s="484" t="s">
        <v>934</v>
      </c>
      <c r="O4" s="484" t="s">
        <v>478</v>
      </c>
      <c r="P4" s="484" t="s">
        <v>644</v>
      </c>
      <c r="Q4" s="484" t="s">
        <v>241</v>
      </c>
      <c r="R4" s="484" t="s">
        <v>645</v>
      </c>
      <c r="S4" s="484" t="s">
        <v>646</v>
      </c>
      <c r="T4" s="484" t="s">
        <v>647</v>
      </c>
      <c r="U4" s="484" t="s">
        <v>648</v>
      </c>
      <c r="V4" s="484" t="s">
        <v>235</v>
      </c>
      <c r="W4" s="484" t="s">
        <v>479</v>
      </c>
      <c r="X4" s="484" t="s">
        <v>620</v>
      </c>
      <c r="Y4" s="484" t="s">
        <v>482</v>
      </c>
      <c r="Z4" s="484" t="s">
        <v>531</v>
      </c>
      <c r="AA4" s="484" t="s">
        <v>532</v>
      </c>
      <c r="AB4" s="484" t="s">
        <v>449</v>
      </c>
      <c r="AC4" s="484" t="s">
        <v>448</v>
      </c>
      <c r="AD4" s="484" t="s">
        <v>447</v>
      </c>
      <c r="AE4" s="484" t="s">
        <v>455</v>
      </c>
      <c r="AF4" s="484" t="s">
        <v>655</v>
      </c>
      <c r="AG4" s="484" t="s">
        <v>656</v>
      </c>
      <c r="AH4" s="484" t="s">
        <v>657</v>
      </c>
      <c r="AI4" s="484" t="s">
        <v>658</v>
      </c>
      <c r="AJ4" s="484" t="s">
        <v>662</v>
      </c>
      <c r="AK4" s="484" t="s">
        <v>659</v>
      </c>
      <c r="AL4" s="484" t="s">
        <v>660</v>
      </c>
      <c r="AM4" s="484" t="s">
        <v>661</v>
      </c>
      <c r="AN4" s="484" t="s">
        <v>37</v>
      </c>
      <c r="AO4" s="484" t="s">
        <v>238</v>
      </c>
      <c r="AP4" s="484" t="s">
        <v>189</v>
      </c>
      <c r="AQ4" s="484" t="s">
        <v>396</v>
      </c>
      <c r="AR4" s="484" t="s">
        <v>463</v>
      </c>
      <c r="AS4" s="484" t="s">
        <v>431</v>
      </c>
      <c r="AT4" s="484" t="s">
        <v>454</v>
      </c>
      <c r="AU4" s="484" t="s">
        <v>245</v>
      </c>
      <c r="AV4" s="484" t="s">
        <v>37</v>
      </c>
      <c r="AW4" s="484" t="s">
        <v>238</v>
      </c>
      <c r="AX4" s="484" t="s">
        <v>189</v>
      </c>
      <c r="AY4" s="484" t="s">
        <v>396</v>
      </c>
      <c r="AZ4" s="484" t="s">
        <v>463</v>
      </c>
      <c r="BA4" s="484" t="s">
        <v>431</v>
      </c>
      <c r="BB4" s="484" t="s">
        <v>454</v>
      </c>
      <c r="BC4" s="484" t="s">
        <v>245</v>
      </c>
      <c r="BD4" s="484" t="s">
        <v>37</v>
      </c>
      <c r="BE4" s="484" t="s">
        <v>238</v>
      </c>
      <c r="BF4" s="484" t="s">
        <v>189</v>
      </c>
      <c r="BG4" s="484" t="s">
        <v>396</v>
      </c>
      <c r="BH4" s="484" t="s">
        <v>463</v>
      </c>
      <c r="BI4" s="484" t="s">
        <v>431</v>
      </c>
      <c r="BJ4" s="484" t="s">
        <v>454</v>
      </c>
      <c r="BK4" s="484" t="s">
        <v>245</v>
      </c>
      <c r="BL4" s="484" t="s">
        <v>37</v>
      </c>
      <c r="BM4" s="484" t="s">
        <v>39</v>
      </c>
      <c r="BN4" s="484" t="s">
        <v>436</v>
      </c>
      <c r="BO4" s="484" t="s">
        <v>524</v>
      </c>
      <c r="BP4" s="484" t="s">
        <v>454</v>
      </c>
      <c r="BQ4" s="484" t="s">
        <v>245</v>
      </c>
      <c r="BR4" s="484" t="s">
        <v>37</v>
      </c>
      <c r="BS4" s="484" t="s">
        <v>591</v>
      </c>
      <c r="BT4" s="484" t="s">
        <v>589</v>
      </c>
      <c r="BU4" s="484" t="s">
        <v>590</v>
      </c>
      <c r="BV4" s="484" t="s">
        <v>454</v>
      </c>
      <c r="BW4" s="484" t="s">
        <v>245</v>
      </c>
      <c r="BX4" s="484" t="s">
        <v>37</v>
      </c>
      <c r="BY4" s="484" t="s">
        <v>39</v>
      </c>
      <c r="BZ4" s="484" t="s">
        <v>436</v>
      </c>
      <c r="CA4" s="484" t="s">
        <v>524</v>
      </c>
      <c r="CB4" s="484" t="s">
        <v>454</v>
      </c>
      <c r="CC4" s="484" t="s">
        <v>245</v>
      </c>
      <c r="CD4" s="484" t="s">
        <v>37</v>
      </c>
      <c r="CE4" s="484" t="s">
        <v>525</v>
      </c>
      <c r="CF4" s="484" t="s">
        <v>526</v>
      </c>
      <c r="CG4" s="484" t="s">
        <v>664</v>
      </c>
      <c r="CH4" s="484" t="s">
        <v>701</v>
      </c>
      <c r="CI4" s="484" t="s">
        <v>218</v>
      </c>
      <c r="CJ4" s="484" t="s">
        <v>482</v>
      </c>
      <c r="CK4" s="484" t="s">
        <v>702</v>
      </c>
      <c r="CL4" s="484" t="s">
        <v>703</v>
      </c>
      <c r="CM4" s="484" t="s">
        <v>704</v>
      </c>
      <c r="CN4" s="484" t="s">
        <v>705</v>
      </c>
      <c r="CO4" s="484" t="s">
        <v>707</v>
      </c>
      <c r="CP4" s="484" t="s">
        <v>708</v>
      </c>
      <c r="CQ4" s="484" t="s">
        <v>704</v>
      </c>
      <c r="CR4" s="484" t="s">
        <v>709</v>
      </c>
      <c r="CS4" s="484" t="s">
        <v>710</v>
      </c>
      <c r="CT4" s="484" t="s">
        <v>711</v>
      </c>
      <c r="CU4" s="484" t="s">
        <v>516</v>
      </c>
      <c r="CV4" s="484" t="s">
        <v>717</v>
      </c>
      <c r="CW4" s="484" t="s">
        <v>693</v>
      </c>
      <c r="CX4" s="484" t="s">
        <v>124</v>
      </c>
      <c r="CY4" s="484" t="s">
        <v>127</v>
      </c>
      <c r="CZ4" s="484" t="s">
        <v>128</v>
      </c>
      <c r="DA4" s="484" t="s">
        <v>126</v>
      </c>
      <c r="DB4" s="484" t="s">
        <v>694</v>
      </c>
      <c r="DC4" s="484" t="s">
        <v>124</v>
      </c>
      <c r="DD4" s="484" t="s">
        <v>139</v>
      </c>
      <c r="DE4" s="484" t="s">
        <v>128</v>
      </c>
      <c r="DF4" s="484" t="s">
        <v>140</v>
      </c>
      <c r="DG4" s="484" t="s">
        <v>181</v>
      </c>
      <c r="DH4" s="484" t="s">
        <v>124</v>
      </c>
      <c r="DI4" s="484" t="s">
        <v>141</v>
      </c>
      <c r="DJ4" s="484" t="s">
        <v>128</v>
      </c>
      <c r="DK4" s="484" t="s">
        <v>142</v>
      </c>
      <c r="DL4" s="484" t="s">
        <v>182</v>
      </c>
      <c r="DM4" s="484" t="s">
        <v>124</v>
      </c>
      <c r="DN4" s="484" t="s">
        <v>143</v>
      </c>
      <c r="DO4" s="484" t="s">
        <v>128</v>
      </c>
      <c r="DP4" s="484" t="s">
        <v>144</v>
      </c>
      <c r="DQ4" s="484" t="s">
        <v>183</v>
      </c>
      <c r="DR4" s="484" t="s">
        <v>124</v>
      </c>
      <c r="DS4" s="484" t="s">
        <v>145</v>
      </c>
      <c r="DT4" s="484" t="s">
        <v>128</v>
      </c>
      <c r="DU4" s="484" t="s">
        <v>146</v>
      </c>
      <c r="DV4" s="484" t="s">
        <v>698</v>
      </c>
      <c r="DW4" s="484" t="s">
        <v>718</v>
      </c>
      <c r="DX4" s="484" t="s">
        <v>129</v>
      </c>
      <c r="DZ4" s="484" t="s">
        <v>665</v>
      </c>
      <c r="EA4" s="484" t="s">
        <v>666</v>
      </c>
      <c r="EB4" s="484" t="s">
        <v>667</v>
      </c>
      <c r="EC4" s="484" t="s">
        <v>630</v>
      </c>
      <c r="ED4" s="484" t="s">
        <v>629</v>
      </c>
      <c r="EE4" s="484" t="s">
        <v>631</v>
      </c>
      <c r="EF4" s="484" t="s">
        <v>639</v>
      </c>
      <c r="EG4" s="484" t="str">
        <f>FVE!C4</f>
        <v>Jaký je jmenovitý instalovaný výkon FVE ?</v>
      </c>
      <c r="EH4" s="484" t="str">
        <f>FVE!C5</f>
        <v>Jaká je předpokládaná roční výroba elektrické energie z FVE ?</v>
      </c>
      <c r="EI4" s="484" t="str">
        <f>FVE!C6</f>
        <v>Je součástí projektu instalace FVE také akumulace elektrické energie do baterie?</v>
      </c>
      <c r="EJ4" s="484" t="str">
        <f>FVE!C7</f>
        <v>Jaká je jmenovitá kapacita instalované baterie ?</v>
      </c>
      <c r="EK4" s="484" t="str">
        <f>FVE!C8</f>
        <v>Jaká je celková roční spotřeba elektrické energie v budově / budovách, pro které se FVE instaluje ?</v>
      </c>
    </row>
    <row r="5" spans="1:141">
      <c r="A5" s="404">
        <f>'Hlavní list'!C6</f>
        <v>0</v>
      </c>
      <c r="B5" s="404">
        <f>'Hlavní list'!C7</f>
        <v>0</v>
      </c>
      <c r="C5" s="404">
        <f>'Hlavní list'!C8</f>
        <v>0</v>
      </c>
      <c r="D5" s="485">
        <f>'Hlavní list'!C9</f>
        <v>0</v>
      </c>
      <c r="E5" s="485">
        <f>'Hlavní list'!C10</f>
        <v>0</v>
      </c>
      <c r="F5" s="404">
        <f>'Hlavní list'!C11</f>
        <v>0</v>
      </c>
      <c r="G5" s="486">
        <f>'Hlavní list'!D21</f>
        <v>0</v>
      </c>
      <c r="H5" s="486">
        <f>'Hlavní list'!D22</f>
        <v>0</v>
      </c>
      <c r="I5" s="486">
        <f>'Hlavní list'!D23</f>
        <v>0</v>
      </c>
      <c r="J5" s="486">
        <f>'Hlavní list'!D25</f>
        <v>0</v>
      </c>
      <c r="K5" s="485" t="b">
        <f>parametry!B109</f>
        <v>0</v>
      </c>
      <c r="L5" s="485" t="b">
        <f>parametry!B110</f>
        <v>0</v>
      </c>
      <c r="M5" s="485" t="b">
        <f>parametry!B111</f>
        <v>0</v>
      </c>
      <c r="N5" s="485" t="b">
        <f>parametry!B112</f>
        <v>0</v>
      </c>
      <c r="O5" s="404" t="str">
        <f>IF(parametry!B136=1,parametry!A119,parametry!A120)</f>
        <v>Zadání projektu na základě Průkazu energetické náročnosti</v>
      </c>
      <c r="P5" s="404">
        <f>Zateplení!F5</f>
        <v>0</v>
      </c>
      <c r="Q5" s="404">
        <f>Zateplení!F6</f>
        <v>0</v>
      </c>
      <c r="R5" s="404">
        <f>Zateplení!F7</f>
        <v>0</v>
      </c>
      <c r="S5" s="487">
        <f>Zateplení!F8</f>
        <v>0</v>
      </c>
      <c r="T5" s="487">
        <f>Zateplení!F9</f>
        <v>0</v>
      </c>
      <c r="U5" s="404">
        <f>Zateplení!F10</f>
        <v>0</v>
      </c>
      <c r="V5" s="404">
        <f>Zateplení!F11</f>
        <v>0</v>
      </c>
      <c r="W5" s="404">
        <f>Zateplení!F12</f>
        <v>0</v>
      </c>
      <c r="X5" s="404">
        <f>Zateplení!F13</f>
        <v>0</v>
      </c>
      <c r="Y5" s="404">
        <f>Zateplení!F14</f>
        <v>0</v>
      </c>
      <c r="Z5" s="488">
        <f>Zateplení!F18</f>
        <v>0</v>
      </c>
      <c r="AA5" s="404">
        <f>Zateplení!F19</f>
        <v>0</v>
      </c>
      <c r="AB5" s="487">
        <f>Zateplení!F20</f>
        <v>0</v>
      </c>
      <c r="AC5" s="487">
        <f>Zateplení!F21</f>
        <v>0</v>
      </c>
      <c r="AD5" s="487">
        <f>Zateplení!F22</f>
        <v>0</v>
      </c>
      <c r="AE5" s="404" t="str">
        <f>Zateplení!F23</f>
        <v/>
      </c>
      <c r="AF5" s="404">
        <f>Zateplení!F28</f>
        <v>0</v>
      </c>
      <c r="AG5" s="404">
        <f>Zateplení!F29</f>
        <v>0</v>
      </c>
      <c r="AH5" s="404">
        <f>Zateplení!F30</f>
        <v>0</v>
      </c>
      <c r="AI5" s="404">
        <f>Zateplení!F31</f>
        <v>0</v>
      </c>
      <c r="AJ5" s="404">
        <f>Zateplení!F32</f>
        <v>0</v>
      </c>
      <c r="AK5" s="404">
        <f>Zateplení!F33</f>
        <v>0</v>
      </c>
      <c r="AL5" s="404">
        <f>Zateplení!F34</f>
        <v>0</v>
      </c>
      <c r="AM5" s="404">
        <f>Zateplení!F35</f>
        <v>0</v>
      </c>
      <c r="AN5" s="404">
        <f>Zateplení!F58</f>
        <v>0</v>
      </c>
      <c r="AO5" s="404">
        <f>Zateplení!F59</f>
        <v>0</v>
      </c>
      <c r="AP5" s="404">
        <f>Zateplení!F60</f>
        <v>0</v>
      </c>
      <c r="AQ5" s="487">
        <f>Zateplení!F61</f>
        <v>0</v>
      </c>
      <c r="AR5" s="404">
        <f>Zateplení!F62</f>
        <v>0</v>
      </c>
      <c r="AS5" s="404" t="str">
        <f>Zateplení!F63</f>
        <v/>
      </c>
      <c r="AT5" s="404" t="str">
        <f>Zateplení!F64</f>
        <v/>
      </c>
      <c r="AU5" s="404" t="str">
        <f>Zateplení!F73</f>
        <v/>
      </c>
      <c r="AV5" s="404">
        <f>Zateplení!F66</f>
        <v>0</v>
      </c>
      <c r="AW5" s="404">
        <f>Zateplení!F67</f>
        <v>0</v>
      </c>
      <c r="AX5" s="404">
        <f>Zateplení!F68</f>
        <v>0</v>
      </c>
      <c r="AY5" s="487">
        <f>Zateplení!F69</f>
        <v>0</v>
      </c>
      <c r="AZ5" s="404">
        <f>Zateplení!F70</f>
        <v>0</v>
      </c>
      <c r="BA5" s="404" t="str">
        <f>Zateplení!F71</f>
        <v/>
      </c>
      <c r="BB5" s="404" t="str">
        <f>Zateplení!F72</f>
        <v/>
      </c>
      <c r="BC5" s="404" t="str">
        <f>Zateplení!F73</f>
        <v/>
      </c>
      <c r="BD5" s="404">
        <f>Zateplení!F74</f>
        <v>0</v>
      </c>
      <c r="BE5" s="404">
        <f>Zateplení!F75</f>
        <v>0</v>
      </c>
      <c r="BF5" s="404">
        <f>Zateplení!F76</f>
        <v>0</v>
      </c>
      <c r="BG5" s="487">
        <f>Zateplení!F77</f>
        <v>0</v>
      </c>
      <c r="BH5" s="404">
        <f>Zateplení!F78</f>
        <v>0</v>
      </c>
      <c r="BI5" s="404" t="str">
        <f>Zateplení!F79</f>
        <v/>
      </c>
      <c r="BJ5" s="404" t="str">
        <f>Zateplení!F80</f>
        <v/>
      </c>
      <c r="BK5" s="404" t="str">
        <f>Zateplení!F81</f>
        <v/>
      </c>
      <c r="BL5" s="404">
        <f>Zateplení!F82</f>
        <v>0</v>
      </c>
      <c r="BM5" s="404">
        <f>Zateplení!F83</f>
        <v>0</v>
      </c>
      <c r="BN5" s="487">
        <f>Zateplení!F84</f>
        <v>0</v>
      </c>
      <c r="BO5" s="404">
        <f>Zateplení!F85</f>
        <v>0</v>
      </c>
      <c r="BP5" s="485" t="str">
        <f>Zateplení!F86</f>
        <v/>
      </c>
      <c r="BQ5" s="404" t="str">
        <f>Zateplení!F87</f>
        <v/>
      </c>
      <c r="BR5" s="404">
        <f>Zateplení!F88</f>
        <v>0</v>
      </c>
      <c r="BS5" s="404">
        <f>Zateplení!F89</f>
        <v>0</v>
      </c>
      <c r="BT5" s="487">
        <f>Zateplení!F90</f>
        <v>0</v>
      </c>
      <c r="BU5" s="404">
        <f>Zateplení!F91</f>
        <v>0</v>
      </c>
      <c r="BV5" s="485" t="str">
        <f>Zateplení!F92</f>
        <v/>
      </c>
      <c r="BW5" s="404" t="str">
        <f>Zateplení!F93</f>
        <v/>
      </c>
      <c r="BX5" s="404">
        <f>Zateplení!F94</f>
        <v>0</v>
      </c>
      <c r="BY5" s="404">
        <f>Zateplení!F95</f>
        <v>0</v>
      </c>
      <c r="BZ5" s="487">
        <f>Zateplení!F96</f>
        <v>0</v>
      </c>
      <c r="CA5" s="404">
        <f>Zateplení!F97</f>
        <v>0</v>
      </c>
      <c r="CB5" s="485" t="str">
        <f>Zateplení!F98</f>
        <v/>
      </c>
      <c r="CC5" s="404" t="str">
        <f>Zateplení!F99</f>
        <v/>
      </c>
      <c r="CD5" s="404">
        <f>Zateplení!F100</f>
        <v>0</v>
      </c>
      <c r="CE5" s="489">
        <f>Zateplení!F101</f>
        <v>0</v>
      </c>
      <c r="CF5" s="487">
        <f>Zateplení!F102</f>
        <v>0</v>
      </c>
      <c r="CG5" s="487" t="str">
        <f>Zateplení!G101</f>
        <v/>
      </c>
      <c r="CH5" s="404">
        <f>Kotel!E4</f>
        <v>0</v>
      </c>
      <c r="CI5" s="404">
        <f>Kotel!E5</f>
        <v>0</v>
      </c>
      <c r="CJ5" s="404">
        <f>Kotel!E6</f>
        <v>0</v>
      </c>
      <c r="CK5" s="487">
        <f>Kotel!E7</f>
        <v>0</v>
      </c>
      <c r="CL5" s="404">
        <f>Kotel!E8</f>
        <v>0</v>
      </c>
      <c r="CM5" s="489" t="e">
        <f>parametry!G75</f>
        <v>#N/A</v>
      </c>
      <c r="CN5" s="404">
        <f>Kotel!E10</f>
        <v>0</v>
      </c>
      <c r="CO5" s="404">
        <f>Kotel!E13</f>
        <v>0</v>
      </c>
      <c r="CP5" s="404">
        <f>Kotel!E14</f>
        <v>0</v>
      </c>
      <c r="CQ5" s="489" t="e">
        <f>parametry!G76</f>
        <v>#N/A</v>
      </c>
      <c r="CR5" s="404">
        <f>Kotel!E16</f>
        <v>0</v>
      </c>
      <c r="CS5" s="489">
        <f>Kotel!E17</f>
        <v>0</v>
      </c>
      <c r="CT5" s="404">
        <f>Kotel!E18</f>
        <v>0</v>
      </c>
      <c r="CU5" s="404" t="e">
        <f>Kotel!#REF!</f>
        <v>#REF!</v>
      </c>
      <c r="CV5" s="404" t="e">
        <f>Kotel!#REF!</f>
        <v>#REF!</v>
      </c>
      <c r="CW5" s="404">
        <f>Osvetlení!E4</f>
        <v>0</v>
      </c>
      <c r="CX5" s="404">
        <f>Osvetlení!E5</f>
        <v>0</v>
      </c>
      <c r="CY5" s="404">
        <f>Osvetlení!E6</f>
        <v>0</v>
      </c>
      <c r="CZ5" s="404">
        <f>Osvetlení!E7</f>
        <v>0</v>
      </c>
      <c r="DA5" s="404">
        <f>Osvetlení!E8</f>
        <v>0</v>
      </c>
      <c r="DB5" s="404">
        <f>Osvetlení!E10</f>
        <v>0</v>
      </c>
      <c r="DC5" s="404">
        <f>Osvetlení!E11</f>
        <v>0</v>
      </c>
      <c r="DD5" s="404">
        <f>Osvetlení!E12</f>
        <v>0</v>
      </c>
      <c r="DE5" s="404">
        <f>Osvetlení!E13</f>
        <v>0</v>
      </c>
      <c r="DF5" s="404">
        <f>Osvetlení!E14</f>
        <v>0</v>
      </c>
      <c r="DG5" s="404">
        <f>Osvetlení!E16</f>
        <v>0</v>
      </c>
      <c r="DH5" s="404">
        <f>Osvetlení!E17</f>
        <v>0</v>
      </c>
      <c r="DI5" s="404">
        <f>Osvetlení!E18</f>
        <v>0</v>
      </c>
      <c r="DJ5" s="404">
        <f>Osvetlení!E19</f>
        <v>0</v>
      </c>
      <c r="DK5" s="404">
        <f>Osvetlení!E20</f>
        <v>0</v>
      </c>
      <c r="DL5" s="404">
        <f>Osvetlení!E22</f>
        <v>0</v>
      </c>
      <c r="DM5" s="404">
        <f>Osvetlení!E23</f>
        <v>0</v>
      </c>
      <c r="DN5" s="404">
        <f>Osvetlení!E24</f>
        <v>0</v>
      </c>
      <c r="DO5" s="404">
        <f>Osvetlení!E25</f>
        <v>0</v>
      </c>
      <c r="DP5" s="404">
        <f>Osvetlení!E26</f>
        <v>0</v>
      </c>
      <c r="DQ5" s="404">
        <f>Osvetlení!E28</f>
        <v>0</v>
      </c>
      <c r="DR5" s="404">
        <f>Osvetlení!E29</f>
        <v>0</v>
      </c>
      <c r="DS5" s="404">
        <f>Osvetlení!E30</f>
        <v>0</v>
      </c>
      <c r="DT5" s="404">
        <f>Osvetlení!E31</f>
        <v>0</v>
      </c>
      <c r="DU5" s="404">
        <f>Osvetlení!E32</f>
        <v>0</v>
      </c>
      <c r="DV5" s="404">
        <f>Osvetlení!E35</f>
        <v>0</v>
      </c>
      <c r="DW5" s="404">
        <f>Osvetlení!E36</f>
        <v>0</v>
      </c>
      <c r="DX5" s="404">
        <f>Osvetlení!E37</f>
        <v>0</v>
      </c>
      <c r="DY5" s="404">
        <f>Osvetlení!E38</f>
        <v>0</v>
      </c>
      <c r="DZ5" s="487" t="str">
        <f>'Hlavní list'!C36</f>
        <v/>
      </c>
      <c r="EA5" s="487" t="str">
        <f>'Hlavní list'!C37</f>
        <v/>
      </c>
      <c r="EB5" s="487" t="str">
        <f>'Hlavní list'!C38</f>
        <v/>
      </c>
      <c r="EC5" s="489">
        <f>'Hlavní list'!C41</f>
        <v>0</v>
      </c>
      <c r="ED5" s="487">
        <f>'Hlavní list'!C42</f>
        <v>0</v>
      </c>
      <c r="EE5" s="489">
        <f>'Hlavní list'!C43</f>
        <v>0</v>
      </c>
      <c r="EF5" s="487">
        <f>'Hlavní list'!C47</f>
        <v>0</v>
      </c>
      <c r="EG5" s="404">
        <f>FVE!E4</f>
        <v>0</v>
      </c>
      <c r="EH5" s="404">
        <f>FVE!E5</f>
        <v>0</v>
      </c>
      <c r="EI5" s="489">
        <f>FVE!E6</f>
        <v>0</v>
      </c>
      <c r="EJ5" s="404">
        <f>FVE!E7</f>
        <v>0</v>
      </c>
      <c r="EK5" s="404">
        <f>FVE!E8</f>
        <v>0</v>
      </c>
    </row>
    <row r="20" hidden="1"/>
    <row r="21" hidden="1"/>
    <row r="22" hidden="1"/>
    <row r="23" hidden="1"/>
    <row r="24" hidden="1"/>
    <row r="25" hidden="1"/>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26</vt:i4>
      </vt:variant>
    </vt:vector>
  </HeadingPairs>
  <TitlesOfParts>
    <vt:vector size="38" baseType="lpstr">
      <vt:lpstr>Hlavní list</vt:lpstr>
      <vt:lpstr>FVE</vt:lpstr>
      <vt:lpstr>Zateplení</vt:lpstr>
      <vt:lpstr>Kotel</vt:lpstr>
      <vt:lpstr>Osvetlení</vt:lpstr>
      <vt:lpstr>parametry</vt:lpstr>
      <vt:lpstr>Osvetlení_parametry</vt:lpstr>
      <vt:lpstr>budova</vt:lpstr>
      <vt:lpstr>budova_opatření</vt:lpstr>
      <vt:lpstr>opatření k realizaci</vt:lpstr>
      <vt:lpstr>Tisk</vt:lpstr>
      <vt:lpstr>export dat</vt:lpstr>
      <vt:lpstr>ano_ne</vt:lpstr>
      <vt:lpstr>centrální_zásobování_teplem</vt:lpstr>
      <vt:lpstr>elektrokotel</vt:lpstr>
      <vt:lpstr>GJ_na_kWh</vt:lpstr>
      <vt:lpstr>hodiny</vt:lpstr>
      <vt:lpstr>klasika</vt:lpstr>
      <vt:lpstr>kontrola</vt:lpstr>
      <vt:lpstr>kotel_na_topný_olej</vt:lpstr>
      <vt:lpstr>kotel_na_tuhá_paliva</vt:lpstr>
      <vt:lpstr>kotel_na_zemní_plyn</vt:lpstr>
      <vt:lpstr>kotel_stáří</vt:lpstr>
      <vt:lpstr>kWh_na_GJ</vt:lpstr>
      <vt:lpstr>napěťová_hladina</vt:lpstr>
      <vt:lpstr>new_boiler</vt:lpstr>
      <vt:lpstr>nový_kotel</vt:lpstr>
      <vt:lpstr>Tisk!Oblast_tisku</vt:lpstr>
      <vt:lpstr>Zateplení!Oblast_tisku</vt:lpstr>
      <vt:lpstr>paliva</vt:lpstr>
      <vt:lpstr>palivo_kogenerace_elektřina</vt:lpstr>
      <vt:lpstr>palivo_kogenerace_teplo</vt:lpstr>
      <vt:lpstr>parametry!Podlaha</vt:lpstr>
      <vt:lpstr>print</vt:lpstr>
      <vt:lpstr>roky</vt:lpstr>
      <vt:lpstr>starý_kotel</vt:lpstr>
      <vt:lpstr>tepelné_čerpadlo</vt:lpstr>
      <vt:lpstr>yes_no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Harnych</dc:creator>
  <cp:lastModifiedBy>Pavel SITNY</cp:lastModifiedBy>
  <cp:lastPrinted>2019-07-18T07:44:20Z</cp:lastPrinted>
  <dcterms:created xsi:type="dcterms:W3CDTF">2017-01-02T16:12:56Z</dcterms:created>
  <dcterms:modified xsi:type="dcterms:W3CDTF">2022-03-29T13:57:03Z</dcterms:modified>
</cp:coreProperties>
</file>