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D:\Users\RIPA\Desktop\"/>
    </mc:Choice>
  </mc:AlternateContent>
  <xr:revisionPtr revIDLastSave="0" documentId="13_ncr:1_{98BEB2CA-C679-4540-9734-EBF05ED6832B}" xr6:coauthVersionLast="47" xr6:coauthVersionMax="47" xr10:uidLastSave="{00000000-0000-0000-0000-000000000000}"/>
  <workbookProtection workbookAlgorithmName="SHA-512" workbookHashValue="srOkq1qT031EzLc9TqUTkX+vEcbz7HknOBw2gKd8Tz7yyOhmdZWd7INKqFQBOvp9Jq1GTISqRhQgv4sLKyIc+w==" workbookSaltValue="KPjzt4/yz4xy5gcAqC0dDw==" workbookSpinCount="100000" lockStructure="1"/>
  <bookViews>
    <workbookView xWindow="-120" yWindow="-120" windowWidth="29040" windowHeight="15840" tabRatio="688" xr2:uid="{00000000-000D-0000-FFFF-FFFF00000000}"/>
  </bookViews>
  <sheets>
    <sheet name="1. PŘEHLED" sheetId="3" r:id="rId1"/>
    <sheet name="2. Účetnictví" sheetId="28" r:id="rId2"/>
    <sheet name="2. Jednoduché účetnictví " sheetId="15" r:id="rId3"/>
    <sheet name="2. Daňová evidence" sheetId="34" r:id="rId4"/>
    <sheet name="2. Paušální (výdaje, daň)" sheetId="35" r:id="rId5"/>
    <sheet name="Veřejný subjekt (410) " sheetId="19" state="hidden" r:id="rId6"/>
    <sheet name="Podnikatel (500)" sheetId="6" state="hidden" r:id="rId7"/>
    <sheet name="Banky a fin. instituce (501)" sheetId="31" state="hidden" r:id="rId8"/>
    <sheet name="Pojišťovny (502)" sheetId="32" state="hidden" r:id="rId9"/>
    <sheet name="Zdrav pojišťovny (503)" sheetId="33" state="hidden" r:id="rId10"/>
    <sheet name="typy žadatelů" sheetId="2" state="hidden" r:id="rId11"/>
    <sheet name="Nepodnikatel (504)" sheetId="8" state="hidden" r:id="rId12"/>
    <sheet name="3. Skupina podniků" sheetId="25" r:id="rId13"/>
    <sheet name="Výpočty" sheetId="26" state="hidden" r:id="rId14"/>
    <sheet name="INFORMACE" sheetId="12" r:id="rId15"/>
  </sheets>
  <definedNames>
    <definedName name="_xlnm._FilterDatabase" localSheetId="10" hidden="1">'typy žadatelů'!#REF!</definedName>
    <definedName name="KaR" localSheetId="2">#REF!</definedName>
    <definedName name="KaR" localSheetId="12">#REF!</definedName>
    <definedName name="KaR">#REF!</definedName>
    <definedName name="NS" localSheetId="2">#REF!</definedName>
    <definedName name="NS" localSheetId="12">#REF!</definedName>
    <definedName name="NS">#REF!</definedName>
    <definedName name="_xlnm.Print_Area" localSheetId="0">'1. PŘEHLED'!$B$30:$L$51</definedName>
    <definedName name="_xlnm.Print_Area" localSheetId="3">'2. Daňová evidence'!$A$2:$H$58</definedName>
    <definedName name="_xlnm.Print_Area" localSheetId="2">'2. Jednoduché účetnictví '!$A$2:$H$58</definedName>
    <definedName name="_xlnm.Print_Area" localSheetId="4">'2. Paušální (výdaje, daň)'!$A$2:$H$58</definedName>
    <definedName name="_xlnm.Print_Area" localSheetId="1">'2. Účetnictví'!$A$2:$H$71</definedName>
    <definedName name="_xlnm.Print_Area" localSheetId="12">'3. Skupina podniků'!$A$2:$N$296</definedName>
    <definedName name="Právní_forma">'typy žadatelů'!$B$3:$B$76</definedName>
    <definedName name="Skupina" localSheetId="2">#REF!</definedName>
    <definedName name="Skupina" localSheetId="12">#REF!</definedName>
    <definedName name="Skupina">#REF!</definedName>
    <definedName name="Záchrana" localSheetId="2">#REF!</definedName>
    <definedName name="Záchrana" localSheetId="12">#REF!</definedName>
    <definedName name="Záchrana">#REF!</definedName>
    <definedName name="Zriaďovateľ" localSheetId="2">#REF!</definedName>
    <definedName name="Zriaďovateľ" localSheetId="12">#REF!</definedName>
    <definedName name="Zriaďovate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8" i="25" l="1"/>
  <c r="O105" i="25"/>
  <c r="D177" i="25"/>
  <c r="C104" i="25"/>
  <c r="W198" i="25"/>
  <c r="W199" i="25"/>
  <c r="W200" i="25"/>
  <c r="W201" i="25"/>
  <c r="W202" i="25"/>
  <c r="W203" i="25"/>
  <c r="W204" i="25"/>
  <c r="W205" i="25"/>
  <c r="W206" i="25"/>
  <c r="W207" i="25"/>
  <c r="W208" i="25"/>
  <c r="W209" i="25"/>
  <c r="W210" i="25"/>
  <c r="W211" i="25"/>
  <c r="W124" i="25"/>
  <c r="W125" i="25"/>
  <c r="W126" i="25"/>
  <c r="W127" i="25"/>
  <c r="W128" i="25"/>
  <c r="W129" i="25"/>
  <c r="W130" i="25"/>
  <c r="W131" i="25"/>
  <c r="W132" i="25"/>
  <c r="W133" i="25"/>
  <c r="W134" i="25"/>
  <c r="W135" i="25"/>
  <c r="W136" i="25"/>
  <c r="W137" i="25"/>
  <c r="W50" i="25"/>
  <c r="W51" i="25"/>
  <c r="W52" i="25"/>
  <c r="W53" i="25"/>
  <c r="W54" i="25"/>
  <c r="W55" i="25"/>
  <c r="W56" i="25"/>
  <c r="W57" i="25"/>
  <c r="W58" i="25"/>
  <c r="W59" i="25"/>
  <c r="W60" i="25"/>
  <c r="W61" i="25"/>
  <c r="W62" i="25"/>
  <c r="W63" i="25"/>
  <c r="O198" i="25"/>
  <c r="P198" i="25" s="1"/>
  <c r="O199" i="25"/>
  <c r="P199" i="25" s="1"/>
  <c r="O200" i="25"/>
  <c r="P200" i="25" s="1"/>
  <c r="O201" i="25"/>
  <c r="P201" i="25" s="1"/>
  <c r="O202" i="25"/>
  <c r="P202" i="25" s="1"/>
  <c r="O203" i="25"/>
  <c r="P203" i="25" s="1"/>
  <c r="O204" i="25"/>
  <c r="P204" i="25" s="1"/>
  <c r="O205" i="25"/>
  <c r="P205" i="25" s="1"/>
  <c r="O206" i="25"/>
  <c r="P206" i="25" s="1"/>
  <c r="O207" i="25"/>
  <c r="P207" i="25" s="1"/>
  <c r="O208" i="25"/>
  <c r="P208" i="25" s="1"/>
  <c r="O209" i="25"/>
  <c r="P209" i="25" s="1"/>
  <c r="O210" i="25"/>
  <c r="P210" i="25" s="1"/>
  <c r="O211" i="25"/>
  <c r="P211" i="25" s="1"/>
  <c r="O124" i="25"/>
  <c r="P124" i="25" s="1"/>
  <c r="O125" i="25"/>
  <c r="P125" i="25" s="1"/>
  <c r="O126" i="25"/>
  <c r="P126" i="25" s="1"/>
  <c r="O127" i="25"/>
  <c r="P127" i="25" s="1"/>
  <c r="O128" i="25"/>
  <c r="P128" i="25" s="1"/>
  <c r="O129" i="25"/>
  <c r="P129" i="25" s="1"/>
  <c r="O130" i="25"/>
  <c r="P130" i="25" s="1"/>
  <c r="O131" i="25"/>
  <c r="P131" i="25" s="1"/>
  <c r="O132" i="25"/>
  <c r="P132" i="25" s="1"/>
  <c r="O133" i="25"/>
  <c r="P133" i="25" s="1"/>
  <c r="O134" i="25"/>
  <c r="P134" i="25" s="1"/>
  <c r="O135" i="25"/>
  <c r="P135" i="25" s="1"/>
  <c r="O136" i="25"/>
  <c r="P136" i="25" s="1"/>
  <c r="O137" i="25"/>
  <c r="P137" i="25" s="1"/>
  <c r="O54" i="25"/>
  <c r="P54" i="25" s="1"/>
  <c r="O50" i="25"/>
  <c r="P50" i="25" s="1"/>
  <c r="O51" i="25"/>
  <c r="P51" i="25" s="1"/>
  <c r="O52" i="25"/>
  <c r="P52" i="25" s="1"/>
  <c r="O53" i="25"/>
  <c r="P53" i="25" s="1"/>
  <c r="O55" i="25"/>
  <c r="P55" i="25" s="1"/>
  <c r="O56" i="25"/>
  <c r="P56" i="25" s="1"/>
  <c r="O57" i="25"/>
  <c r="P57" i="25" s="1"/>
  <c r="O58" i="25"/>
  <c r="P58" i="25" s="1"/>
  <c r="O59" i="25"/>
  <c r="P59" i="25" s="1"/>
  <c r="O60" i="25"/>
  <c r="P60" i="25" s="1"/>
  <c r="O61" i="25"/>
  <c r="P61" i="25" s="1"/>
  <c r="O62" i="25"/>
  <c r="P62" i="25" s="1"/>
  <c r="O63" i="25"/>
  <c r="P63" i="25" s="1"/>
  <c r="O35" i="25"/>
  <c r="P35" i="25" s="1"/>
  <c r="O34" i="25"/>
  <c r="P34" i="25" s="1"/>
  <c r="M247" i="25"/>
  <c r="L247" i="25"/>
  <c r="K247" i="25"/>
  <c r="J247" i="25"/>
  <c r="E247" i="25"/>
  <c r="M212" i="25"/>
  <c r="L212" i="25"/>
  <c r="K212" i="25"/>
  <c r="J212" i="25"/>
  <c r="E212" i="25"/>
  <c r="M173" i="25"/>
  <c r="L173" i="25"/>
  <c r="K173" i="25"/>
  <c r="J173" i="25"/>
  <c r="E173" i="25"/>
  <c r="M138" i="25"/>
  <c r="L138" i="25"/>
  <c r="K138" i="25"/>
  <c r="J138" i="25"/>
  <c r="I138" i="25"/>
  <c r="H138" i="25"/>
  <c r="E138" i="25"/>
  <c r="E264" i="25" s="1"/>
  <c r="E99" i="25"/>
  <c r="M99" i="25"/>
  <c r="L99" i="25"/>
  <c r="K99" i="25"/>
  <c r="J99" i="25"/>
  <c r="M64" i="25"/>
  <c r="L64" i="25"/>
  <c r="K64" i="25"/>
  <c r="J64" i="25"/>
  <c r="G64" i="25"/>
  <c r="F64" i="25"/>
  <c r="E64" i="25"/>
  <c r="C233" i="25"/>
  <c r="C234" i="25"/>
  <c r="C235" i="25"/>
  <c r="C236" i="25"/>
  <c r="C237" i="25"/>
  <c r="C238" i="25"/>
  <c r="C239" i="25"/>
  <c r="C240" i="25"/>
  <c r="C241" i="25"/>
  <c r="C242" i="25"/>
  <c r="C243" i="25"/>
  <c r="C244" i="25"/>
  <c r="C245" i="25"/>
  <c r="C246" i="25"/>
  <c r="C219" i="25"/>
  <c r="C220" i="25"/>
  <c r="C221" i="25"/>
  <c r="C222" i="25"/>
  <c r="C223" i="25"/>
  <c r="C224" i="25"/>
  <c r="C225" i="25"/>
  <c r="C226" i="25"/>
  <c r="C227" i="25"/>
  <c r="C228" i="25"/>
  <c r="C229" i="25"/>
  <c r="C230" i="25"/>
  <c r="C231" i="25"/>
  <c r="C159" i="25"/>
  <c r="C160" i="25"/>
  <c r="C161" i="25"/>
  <c r="C162" i="25"/>
  <c r="C163" i="25"/>
  <c r="C164" i="25"/>
  <c r="C165" i="25"/>
  <c r="C166" i="25"/>
  <c r="C167" i="25"/>
  <c r="C168" i="25"/>
  <c r="C169" i="25"/>
  <c r="C170" i="25"/>
  <c r="C171" i="25"/>
  <c r="C172" i="25"/>
  <c r="C85" i="25"/>
  <c r="C86" i="25"/>
  <c r="C87" i="25"/>
  <c r="C88" i="25"/>
  <c r="C89" i="25"/>
  <c r="C90" i="25"/>
  <c r="C91" i="25"/>
  <c r="C92" i="25"/>
  <c r="C93" i="25"/>
  <c r="C94" i="25"/>
  <c r="C95" i="25"/>
  <c r="C96" i="25"/>
  <c r="C97" i="25"/>
  <c r="C98" i="25"/>
  <c r="B246" i="25"/>
  <c r="B245" i="25"/>
  <c r="B244" i="25"/>
  <c r="B243" i="25"/>
  <c r="B242" i="25"/>
  <c r="B241" i="25"/>
  <c r="B240" i="25"/>
  <c r="B239" i="25"/>
  <c r="B238" i="25"/>
  <c r="B237" i="25"/>
  <c r="B236" i="25"/>
  <c r="B235" i="25"/>
  <c r="B234" i="25"/>
  <c r="B233" i="25"/>
  <c r="B172" i="25"/>
  <c r="B171" i="25"/>
  <c r="B170" i="25"/>
  <c r="B169" i="25"/>
  <c r="B168" i="25"/>
  <c r="B167" i="25"/>
  <c r="B166" i="25"/>
  <c r="B165" i="25"/>
  <c r="B164" i="25"/>
  <c r="B163" i="25"/>
  <c r="B162" i="25"/>
  <c r="B161" i="25"/>
  <c r="B160" i="25"/>
  <c r="B159" i="25"/>
  <c r="B98" i="25"/>
  <c r="B97" i="25"/>
  <c r="B96" i="25"/>
  <c r="B95" i="25"/>
  <c r="B94" i="25"/>
  <c r="B93" i="25"/>
  <c r="B92" i="25"/>
  <c r="B91" i="25"/>
  <c r="B90" i="25"/>
  <c r="B89" i="25"/>
  <c r="B88" i="25"/>
  <c r="B87" i="25"/>
  <c r="B86" i="25"/>
  <c r="B85" i="25"/>
  <c r="V211" i="25"/>
  <c r="V210" i="25"/>
  <c r="V209" i="25"/>
  <c r="V208" i="25"/>
  <c r="V207" i="25"/>
  <c r="V206" i="25"/>
  <c r="V205" i="25"/>
  <c r="V204" i="25"/>
  <c r="V203" i="25"/>
  <c r="V202" i="25"/>
  <c r="V201" i="25"/>
  <c r="V200" i="25"/>
  <c r="V199" i="25"/>
  <c r="V198" i="25"/>
  <c r="V137" i="25"/>
  <c r="V136" i="25"/>
  <c r="V135" i="25"/>
  <c r="V134" i="25"/>
  <c r="V133" i="25"/>
  <c r="V132" i="25"/>
  <c r="V131" i="25"/>
  <c r="V130" i="25"/>
  <c r="V129" i="25"/>
  <c r="V128" i="25"/>
  <c r="V127" i="25"/>
  <c r="V126" i="25"/>
  <c r="V125" i="25"/>
  <c r="V124" i="25"/>
  <c r="V63" i="25"/>
  <c r="V62" i="25"/>
  <c r="V61" i="25"/>
  <c r="V60" i="25"/>
  <c r="V59" i="25"/>
  <c r="V58" i="25"/>
  <c r="V57" i="25"/>
  <c r="V56" i="25"/>
  <c r="V55" i="25"/>
  <c r="V54" i="25"/>
  <c r="V53" i="25"/>
  <c r="V52" i="25"/>
  <c r="V51" i="25"/>
  <c r="V50" i="25"/>
  <c r="B24" i="25"/>
  <c r="W183" i="25"/>
  <c r="W184" i="25"/>
  <c r="W185" i="25"/>
  <c r="W186" i="25"/>
  <c r="W187" i="25"/>
  <c r="W188" i="25"/>
  <c r="W189" i="25"/>
  <c r="W190" i="25"/>
  <c r="W191" i="25"/>
  <c r="W192" i="25"/>
  <c r="W193" i="25"/>
  <c r="W194" i="25"/>
  <c r="W195" i="25"/>
  <c r="W196" i="25"/>
  <c r="W197" i="25"/>
  <c r="W109" i="25"/>
  <c r="W110" i="25"/>
  <c r="W111" i="25"/>
  <c r="W112" i="25"/>
  <c r="W113" i="25"/>
  <c r="W114" i="25"/>
  <c r="W115" i="25"/>
  <c r="W116" i="25"/>
  <c r="W117" i="25"/>
  <c r="W118" i="25"/>
  <c r="W119" i="25"/>
  <c r="W120" i="25"/>
  <c r="W121" i="25"/>
  <c r="W122" i="25"/>
  <c r="W123" i="25"/>
  <c r="V183" i="25"/>
  <c r="V184" i="25"/>
  <c r="V185" i="25"/>
  <c r="V186" i="25"/>
  <c r="V187" i="25"/>
  <c r="V188" i="25"/>
  <c r="V189" i="25"/>
  <c r="V190" i="25"/>
  <c r="V191" i="25"/>
  <c r="V192" i="25"/>
  <c r="V193" i="25"/>
  <c r="V194" i="25"/>
  <c r="V195" i="25"/>
  <c r="V196" i="25"/>
  <c r="V197" i="25"/>
  <c r="V109" i="25"/>
  <c r="V110" i="25"/>
  <c r="V111" i="25"/>
  <c r="V112" i="25"/>
  <c r="V113" i="25"/>
  <c r="V114" i="25"/>
  <c r="V115" i="25"/>
  <c r="V116" i="25"/>
  <c r="V117" i="25"/>
  <c r="V118" i="25"/>
  <c r="V119" i="25"/>
  <c r="V120" i="25"/>
  <c r="V121" i="25"/>
  <c r="V122" i="25"/>
  <c r="V123" i="25"/>
  <c r="W39" i="25"/>
  <c r="W40" i="25"/>
  <c r="W41" i="25"/>
  <c r="W42" i="25"/>
  <c r="W43" i="25"/>
  <c r="W44" i="25"/>
  <c r="W45" i="25"/>
  <c r="W46" i="25"/>
  <c r="W47" i="25"/>
  <c r="W48" i="25"/>
  <c r="W49" i="25"/>
  <c r="C218" i="25"/>
  <c r="C232" i="25"/>
  <c r="B232" i="25"/>
  <c r="B231" i="25"/>
  <c r="B230" i="25"/>
  <c r="B229" i="25"/>
  <c r="B228" i="25"/>
  <c r="B227" i="25"/>
  <c r="B226" i="25"/>
  <c r="B225" i="25"/>
  <c r="B224" i="25"/>
  <c r="B223" i="25"/>
  <c r="B222" i="25"/>
  <c r="B221" i="25"/>
  <c r="B220" i="25"/>
  <c r="B219" i="25"/>
  <c r="B218" i="25"/>
  <c r="C148" i="25"/>
  <c r="C147" i="25"/>
  <c r="C146" i="25"/>
  <c r="C145" i="25"/>
  <c r="C144" i="25"/>
  <c r="C149" i="25"/>
  <c r="C150" i="25"/>
  <c r="C151" i="25"/>
  <c r="C152" i="25"/>
  <c r="C153" i="25"/>
  <c r="C154" i="25"/>
  <c r="C155" i="25"/>
  <c r="C156" i="25"/>
  <c r="C157" i="25"/>
  <c r="C158" i="25"/>
  <c r="B158" i="25"/>
  <c r="B157" i="25"/>
  <c r="B156" i="25"/>
  <c r="B155" i="25"/>
  <c r="B154" i="25"/>
  <c r="B153" i="25"/>
  <c r="B152" i="25"/>
  <c r="B151" i="25"/>
  <c r="B150" i="25"/>
  <c r="B149" i="25"/>
  <c r="B148" i="25"/>
  <c r="B147" i="25"/>
  <c r="B146" i="25"/>
  <c r="B145" i="25"/>
  <c r="B144" i="25"/>
  <c r="C70" i="25"/>
  <c r="C72" i="25"/>
  <c r="C73" i="25"/>
  <c r="C74" i="25"/>
  <c r="C75" i="25"/>
  <c r="C76" i="25"/>
  <c r="C77" i="25"/>
  <c r="C78" i="25"/>
  <c r="C79" i="25"/>
  <c r="C80" i="25"/>
  <c r="C81" i="25"/>
  <c r="C82" i="25"/>
  <c r="C83" i="25"/>
  <c r="C84" i="25"/>
  <c r="C71" i="25"/>
  <c r="B84" i="25"/>
  <c r="B83" i="25"/>
  <c r="B82" i="25"/>
  <c r="B81" i="25"/>
  <c r="B80" i="25"/>
  <c r="B79" i="25"/>
  <c r="B78" i="25"/>
  <c r="B77" i="25"/>
  <c r="B76" i="25"/>
  <c r="B75" i="25"/>
  <c r="B74" i="25"/>
  <c r="B73" i="25"/>
  <c r="B72" i="25"/>
  <c r="B71" i="25"/>
  <c r="B70" i="25"/>
  <c r="V35" i="25"/>
  <c r="V36" i="25"/>
  <c r="V37" i="25"/>
  <c r="V38" i="25"/>
  <c r="V39" i="25"/>
  <c r="V40" i="25"/>
  <c r="V41" i="25"/>
  <c r="V42" i="25"/>
  <c r="V43" i="25"/>
  <c r="V44" i="25"/>
  <c r="V45" i="25"/>
  <c r="V46" i="25"/>
  <c r="V47" i="25"/>
  <c r="V48" i="25"/>
  <c r="V49" i="25"/>
  <c r="O183" i="25"/>
  <c r="P183" i="25" s="1"/>
  <c r="O184" i="25"/>
  <c r="P184" i="25" s="1"/>
  <c r="O185" i="25"/>
  <c r="P185" i="25" s="1"/>
  <c r="O186" i="25"/>
  <c r="P186" i="25" s="1"/>
  <c r="O187" i="25"/>
  <c r="P187" i="25" s="1"/>
  <c r="O188" i="25"/>
  <c r="P188" i="25" s="1"/>
  <c r="O189" i="25"/>
  <c r="P189" i="25" s="1"/>
  <c r="O190" i="25"/>
  <c r="P190" i="25" s="1"/>
  <c r="O191" i="25"/>
  <c r="P191" i="25" s="1"/>
  <c r="O192" i="25"/>
  <c r="P192" i="25" s="1"/>
  <c r="O193" i="25"/>
  <c r="P193" i="25" s="1"/>
  <c r="O194" i="25"/>
  <c r="P194" i="25" s="1"/>
  <c r="O195" i="25"/>
  <c r="P195" i="25" s="1"/>
  <c r="O196" i="25"/>
  <c r="P196" i="25" s="1"/>
  <c r="O197" i="25"/>
  <c r="P197" i="25" s="1"/>
  <c r="O109" i="25"/>
  <c r="P109" i="25" s="1"/>
  <c r="O110" i="25"/>
  <c r="P110" i="25" s="1"/>
  <c r="O111" i="25"/>
  <c r="P111" i="25" s="1"/>
  <c r="O112" i="25"/>
  <c r="P112" i="25" s="1"/>
  <c r="O113" i="25"/>
  <c r="P113" i="25" s="1"/>
  <c r="O114" i="25"/>
  <c r="P114" i="25" s="1"/>
  <c r="O115" i="25"/>
  <c r="P115" i="25" s="1"/>
  <c r="O116" i="25"/>
  <c r="P116" i="25" s="1"/>
  <c r="O117" i="25"/>
  <c r="P117" i="25" s="1"/>
  <c r="O118" i="25"/>
  <c r="P118" i="25" s="1"/>
  <c r="O119" i="25"/>
  <c r="P119" i="25" s="1"/>
  <c r="O120" i="25"/>
  <c r="P120" i="25" s="1"/>
  <c r="O121" i="25"/>
  <c r="P121" i="25" s="1"/>
  <c r="O122" i="25"/>
  <c r="P122" i="25" s="1"/>
  <c r="O123" i="25"/>
  <c r="P123" i="25" s="1"/>
  <c r="O45" i="25"/>
  <c r="P45" i="25" s="1"/>
  <c r="O43" i="25"/>
  <c r="P43" i="25" s="1"/>
  <c r="O41" i="25"/>
  <c r="P41" i="25" s="1"/>
  <c r="O39" i="25"/>
  <c r="P39" i="25" s="1"/>
  <c r="O37" i="25"/>
  <c r="P37" i="25" s="1"/>
  <c r="B23" i="25"/>
  <c r="B217" i="25"/>
  <c r="B143" i="25"/>
  <c r="B69" i="25"/>
  <c r="D176" i="25"/>
  <c r="C29" i="25"/>
  <c r="F276" i="25"/>
  <c r="F275" i="25"/>
  <c r="F271" i="25"/>
  <c r="F270" i="25"/>
  <c r="AK276" i="25"/>
  <c r="AK275" i="25"/>
  <c r="AK271" i="25"/>
  <c r="AK270" i="25"/>
  <c r="C103" i="25"/>
  <c r="C102" i="25"/>
  <c r="B96" i="26"/>
  <c r="C96" i="26" s="1"/>
  <c r="B83" i="26"/>
  <c r="C83" i="26" s="1"/>
  <c r="E275" i="25" l="1"/>
  <c r="E271" i="25"/>
  <c r="E270" i="25"/>
  <c r="E276" i="25"/>
  <c r="E96" i="26"/>
  <c r="D96" i="26"/>
  <c r="E10" i="35" s="1"/>
  <c r="D83" i="26"/>
  <c r="E10" i="34" s="1"/>
  <c r="E83" i="26"/>
  <c r="B70" i="26"/>
  <c r="C70" i="26" s="1"/>
  <c r="C143" i="25"/>
  <c r="O182" i="25"/>
  <c r="P182" i="25" s="1"/>
  <c r="P212" i="25" s="1"/>
  <c r="O108" i="25"/>
  <c r="P108" i="25" s="1"/>
  <c r="P138" i="25" s="1"/>
  <c r="O36" i="25"/>
  <c r="P36" i="25" s="1"/>
  <c r="O38" i="25"/>
  <c r="P38" i="25" s="1"/>
  <c r="O40" i="25"/>
  <c r="P40" i="25" s="1"/>
  <c r="O42" i="25"/>
  <c r="P42" i="25" s="1"/>
  <c r="O44" i="25"/>
  <c r="P44" i="25" s="1"/>
  <c r="O46" i="25"/>
  <c r="P46" i="25" s="1"/>
  <c r="O47" i="25"/>
  <c r="P47" i="25" s="1"/>
  <c r="O48" i="25"/>
  <c r="P48" i="25" s="1"/>
  <c r="O49" i="25"/>
  <c r="P49" i="25" s="1"/>
  <c r="C69" i="25"/>
  <c r="P64" i="25" l="1"/>
  <c r="C65" i="25" s="1"/>
  <c r="I11" i="35"/>
  <c r="E11" i="35" s="1"/>
  <c r="I42" i="35" s="1"/>
  <c r="G42" i="35" s="1"/>
  <c r="G49" i="35" s="1"/>
  <c r="K23" i="26"/>
  <c r="K24" i="26" s="1"/>
  <c r="I11" i="34"/>
  <c r="J23" i="26"/>
  <c r="J24" i="26" s="1"/>
  <c r="B104" i="26"/>
  <c r="B9" i="35" s="1"/>
  <c r="B103" i="26"/>
  <c r="B8" i="35" s="1"/>
  <c r="B91" i="26"/>
  <c r="B9" i="34" s="1"/>
  <c r="B90" i="26"/>
  <c r="B8" i="34" s="1"/>
  <c r="E70" i="26"/>
  <c r="D70" i="26"/>
  <c r="C213" i="25"/>
  <c r="C139" i="25"/>
  <c r="C217" i="25"/>
  <c r="E11" i="34" l="1"/>
  <c r="I42" i="34" s="1"/>
  <c r="G42" i="34" s="1"/>
  <c r="G49" i="34" s="1"/>
  <c r="F42" i="35"/>
  <c r="F49" i="35" s="1"/>
  <c r="F23" i="35"/>
  <c r="E10" i="15"/>
  <c r="B77" i="26"/>
  <c r="B8" i="15" s="1"/>
  <c r="B78" i="26"/>
  <c r="B9" i="15" s="1"/>
  <c r="F37" i="15"/>
  <c r="T13" i="25"/>
  <c r="B31" i="25" s="1"/>
  <c r="B22" i="25"/>
  <c r="B20" i="25"/>
  <c r="E68" i="25"/>
  <c r="V182" i="25"/>
  <c r="V108" i="25"/>
  <c r="V34" i="25"/>
  <c r="B70" i="28"/>
  <c r="H15" i="28"/>
  <c r="F23" i="34" l="1"/>
  <c r="F42" i="34"/>
  <c r="F49" i="34" s="1"/>
  <c r="I11" i="15"/>
  <c r="E11" i="15" s="1"/>
  <c r="I42" i="15" s="1"/>
  <c r="G42" i="15" s="1"/>
  <c r="I23" i="26"/>
  <c r="I24" i="26" s="1"/>
  <c r="E272" i="25"/>
  <c r="E277" i="25"/>
  <c r="B179" i="25"/>
  <c r="B105" i="25"/>
  <c r="G49" i="15" l="1"/>
  <c r="F42" i="15"/>
  <c r="F49" i="15" s="1"/>
  <c r="F23" i="15"/>
  <c r="E259" i="25" l="1"/>
  <c r="E258" i="25"/>
  <c r="E257" i="25"/>
  <c r="E260" i="25" l="1"/>
  <c r="B50" i="26"/>
  <c r="C50" i="26" s="1"/>
  <c r="D50" i="26" l="1"/>
  <c r="E11" i="28" s="1"/>
  <c r="E50" i="26"/>
  <c r="C46" i="26"/>
  <c r="C45" i="26"/>
  <c r="I12" i="28" l="1"/>
  <c r="E12" i="28" s="1"/>
  <c r="I53" i="28" s="1"/>
  <c r="H23" i="26"/>
  <c r="H24" i="26" s="1"/>
  <c r="L22" i="26" s="1"/>
  <c r="E8" i="25" s="1"/>
  <c r="B61" i="26" s="1"/>
  <c r="B62" i="26" s="1"/>
  <c r="C63" i="26" s="1"/>
  <c r="D46" i="26"/>
  <c r="D13" i="33" s="1"/>
  <c r="B57" i="26"/>
  <c r="B9" i="28" s="1"/>
  <c r="B58" i="26"/>
  <c r="B10" i="28" s="1"/>
  <c r="E12" i="25"/>
  <c r="D253" i="25" l="1"/>
  <c r="E279" i="25" s="1"/>
  <c r="F279" i="25" s="1"/>
  <c r="B140" i="25"/>
  <c r="G53" i="28"/>
  <c r="F53" i="28"/>
  <c r="F60" i="28" s="1"/>
  <c r="F27" i="28"/>
  <c r="F34" i="28"/>
  <c r="D13" i="6"/>
  <c r="D13" i="32"/>
  <c r="D13" i="31"/>
  <c r="D13" i="19"/>
  <c r="D13" i="8"/>
  <c r="B66" i="25"/>
  <c r="K17" i="26"/>
  <c r="J17" i="26"/>
  <c r="H17" i="26"/>
  <c r="K11" i="26"/>
  <c r="J11" i="26"/>
  <c r="I11" i="26"/>
  <c r="H11" i="26"/>
  <c r="K5" i="26"/>
  <c r="J5" i="26"/>
  <c r="I5" i="26"/>
  <c r="H5" i="26"/>
  <c r="E262" i="25" l="1"/>
  <c r="E255" i="25"/>
  <c r="G60" i="28"/>
  <c r="W254" i="25"/>
  <c r="E41" i="8"/>
  <c r="E40" i="8"/>
  <c r="E36" i="8"/>
  <c r="E35" i="8"/>
  <c r="E41" i="33"/>
  <c r="E40" i="33"/>
  <c r="E36" i="33"/>
  <c r="E35" i="33"/>
  <c r="E41" i="32"/>
  <c r="E40" i="32"/>
  <c r="E36" i="32"/>
  <c r="E35" i="32"/>
  <c r="E41" i="31"/>
  <c r="E40" i="31"/>
  <c r="E36" i="31"/>
  <c r="E35" i="31"/>
  <c r="E41" i="19"/>
  <c r="E40" i="19"/>
  <c r="E36" i="19"/>
  <c r="E35" i="19"/>
  <c r="E41" i="6"/>
  <c r="E40" i="6"/>
  <c r="E36" i="6"/>
  <c r="E35" i="6"/>
  <c r="D8" i="19"/>
  <c r="D7" i="19"/>
  <c r="D6" i="19"/>
  <c r="D4" i="19"/>
  <c r="D8" i="6"/>
  <c r="D7" i="6"/>
  <c r="D6" i="6"/>
  <c r="D4" i="6"/>
  <c r="D8" i="31"/>
  <c r="D7" i="31"/>
  <c r="D6" i="31"/>
  <c r="D4" i="31"/>
  <c r="D8" i="32"/>
  <c r="D7" i="32"/>
  <c r="D6" i="32"/>
  <c r="D4" i="32"/>
  <c r="D8" i="33"/>
  <c r="D7" i="33"/>
  <c r="D6" i="33"/>
  <c r="D4" i="33"/>
  <c r="D8" i="8"/>
  <c r="D7" i="8"/>
  <c r="D6" i="8"/>
  <c r="D4" i="8"/>
  <c r="F55" i="8"/>
  <c r="F54" i="8"/>
  <c r="F53" i="8"/>
  <c r="F48" i="8"/>
  <c r="F47" i="8"/>
  <c r="E55" i="8"/>
  <c r="E54" i="8"/>
  <c r="E53" i="8"/>
  <c r="E48" i="8"/>
  <c r="E47" i="8"/>
  <c r="E31" i="8"/>
  <c r="E30" i="8"/>
  <c r="E29" i="8"/>
  <c r="F55" i="33"/>
  <c r="F54" i="33"/>
  <c r="F53" i="33"/>
  <c r="F48" i="33"/>
  <c r="F47" i="33"/>
  <c r="E55" i="33"/>
  <c r="E54" i="33"/>
  <c r="E53" i="33"/>
  <c r="E48" i="33"/>
  <c r="E47" i="33"/>
  <c r="E31" i="33"/>
  <c r="E30" i="33"/>
  <c r="E29" i="33"/>
  <c r="F55" i="32"/>
  <c r="F54" i="32"/>
  <c r="F53" i="32"/>
  <c r="F48" i="32"/>
  <c r="F47" i="32"/>
  <c r="E55" i="32"/>
  <c r="E54" i="32"/>
  <c r="E53" i="32"/>
  <c r="E48" i="32"/>
  <c r="E47" i="32"/>
  <c r="E31" i="32"/>
  <c r="E30" i="32"/>
  <c r="E29" i="32"/>
  <c r="F55" i="31"/>
  <c r="F54" i="31"/>
  <c r="F53" i="31"/>
  <c r="F48" i="31"/>
  <c r="F47" i="31"/>
  <c r="E55" i="31"/>
  <c r="E54" i="31"/>
  <c r="E53" i="31"/>
  <c r="E48" i="31"/>
  <c r="E47" i="31"/>
  <c r="E31" i="31"/>
  <c r="E30" i="31"/>
  <c r="E29" i="31"/>
  <c r="F55" i="19"/>
  <c r="F54" i="19"/>
  <c r="F53" i="19"/>
  <c r="F48" i="19"/>
  <c r="F47" i="19"/>
  <c r="E55" i="19"/>
  <c r="E54" i="19"/>
  <c r="E53" i="19"/>
  <c r="E48" i="19"/>
  <c r="E47" i="19"/>
  <c r="E22" i="19"/>
  <c r="F55" i="6"/>
  <c r="F54" i="6"/>
  <c r="F53" i="6"/>
  <c r="F48" i="6"/>
  <c r="F47" i="6"/>
  <c r="E55" i="6"/>
  <c r="E54" i="6"/>
  <c r="E53" i="6"/>
  <c r="E48" i="6"/>
  <c r="E47" i="6"/>
  <c r="E31" i="6"/>
  <c r="E30" i="6"/>
  <c r="E29" i="6"/>
  <c r="F56" i="19" l="1"/>
  <c r="F49" i="8"/>
  <c r="E32" i="8"/>
  <c r="E32" i="6"/>
  <c r="E20" i="34" l="1"/>
  <c r="E20" i="15"/>
  <c r="E20" i="35" l="1"/>
  <c r="G53" i="35" l="1"/>
  <c r="G54" i="35" s="1"/>
  <c r="F53" i="35"/>
  <c r="F54" i="35" s="1"/>
  <c r="G45" i="35"/>
  <c r="G46" i="35" s="1"/>
  <c r="F45" i="35"/>
  <c r="F46" i="35" s="1"/>
  <c r="F37" i="35"/>
  <c r="F32" i="35"/>
  <c r="F27" i="35"/>
  <c r="F22" i="35"/>
  <c r="G53" i="34"/>
  <c r="G54" i="34" s="1"/>
  <c r="F53" i="34"/>
  <c r="F54" i="34" s="1"/>
  <c r="G45" i="34"/>
  <c r="G46" i="34" s="1"/>
  <c r="F45" i="34"/>
  <c r="F46" i="34" s="1"/>
  <c r="F37" i="34"/>
  <c r="F32" i="34"/>
  <c r="F27" i="34"/>
  <c r="F22" i="34"/>
  <c r="F56" i="35" l="1"/>
  <c r="F58" i="35" s="1"/>
  <c r="F39" i="35"/>
  <c r="F56" i="34"/>
  <c r="F58" i="34" s="1"/>
  <c r="B63" i="34" s="1"/>
  <c r="F39" i="34"/>
  <c r="E63" i="28"/>
  <c r="D63" i="28"/>
  <c r="E62" i="28"/>
  <c r="D62" i="28"/>
  <c r="E61" i="28"/>
  <c r="D61" i="28"/>
  <c r="B63" i="28"/>
  <c r="B62" i="28"/>
  <c r="B61" i="28"/>
  <c r="E55" i="28"/>
  <c r="D55" i="28"/>
  <c r="E54" i="28"/>
  <c r="D54" i="28"/>
  <c r="B54" i="28"/>
  <c r="B62" i="35" l="1"/>
  <c r="B60" i="35"/>
  <c r="B60" i="34"/>
  <c r="B64" i="28"/>
  <c r="B56" i="28"/>
  <c r="B55" i="28"/>
  <c r="E37" i="28"/>
  <c r="B42" i="28"/>
  <c r="B47" i="28" l="1"/>
  <c r="B46" i="28"/>
  <c r="D46" i="28"/>
  <c r="D47" i="28"/>
  <c r="D42" i="28"/>
  <c r="B41" i="28"/>
  <c r="B37" i="28"/>
  <c r="D41" i="28"/>
  <c r="D35" i="28"/>
  <c r="E35" i="28"/>
  <c r="D36" i="28"/>
  <c r="E36" i="28"/>
  <c r="D28" i="28"/>
  <c r="E28" i="28"/>
  <c r="D29" i="28"/>
  <c r="E29" i="28"/>
  <c r="D30" i="28"/>
  <c r="E30" i="28"/>
  <c r="B30" i="28" l="1"/>
  <c r="B29" i="28"/>
  <c r="B28" i="28"/>
  <c r="G41" i="28"/>
  <c r="E28" i="26"/>
  <c r="E24" i="26"/>
  <c r="G29" i="28"/>
  <c r="B35" i="28" l="1"/>
  <c r="B36" i="28"/>
  <c r="D37" i="28"/>
  <c r="B33" i="28"/>
  <c r="B26" i="28"/>
  <c r="E31" i="19"/>
  <c r="E30" i="19"/>
  <c r="E29" i="19"/>
  <c r="E24" i="8"/>
  <c r="E23" i="8"/>
  <c r="E22" i="8"/>
  <c r="E24" i="33"/>
  <c r="E23" i="33"/>
  <c r="E22" i="33"/>
  <c r="E24" i="32"/>
  <c r="E23" i="32"/>
  <c r="E22" i="32"/>
  <c r="E24" i="31"/>
  <c r="E23" i="31"/>
  <c r="E22" i="31"/>
  <c r="E24" i="6"/>
  <c r="E23" i="6"/>
  <c r="E22" i="6"/>
  <c r="E24" i="19"/>
  <c r="E23" i="19"/>
  <c r="D12" i="8"/>
  <c r="D11" i="8"/>
  <c r="D10" i="8"/>
  <c r="D12" i="19"/>
  <c r="D11" i="19"/>
  <c r="D10" i="19"/>
  <c r="F56" i="33"/>
  <c r="F57" i="33" s="1"/>
  <c r="E56" i="33"/>
  <c r="E57" i="33" s="1"/>
  <c r="F52" i="33"/>
  <c r="E52" i="33"/>
  <c r="F49" i="33"/>
  <c r="F50" i="33" s="1"/>
  <c r="E49" i="33"/>
  <c r="E50" i="33" s="1"/>
  <c r="F46" i="33"/>
  <c r="E46" i="33"/>
  <c r="E42" i="33"/>
  <c r="E37" i="33"/>
  <c r="E32" i="33"/>
  <c r="E28" i="33"/>
  <c r="E21" i="33"/>
  <c r="D12" i="33"/>
  <c r="D11" i="33"/>
  <c r="D10" i="33"/>
  <c r="F56" i="32"/>
  <c r="F57" i="32" s="1"/>
  <c r="E56" i="32"/>
  <c r="E57" i="32" s="1"/>
  <c r="F52" i="32"/>
  <c r="E52" i="32"/>
  <c r="F49" i="32"/>
  <c r="F50" i="32" s="1"/>
  <c r="E49" i="32"/>
  <c r="E50" i="32" s="1"/>
  <c r="F46" i="32"/>
  <c r="E46" i="32"/>
  <c r="E42" i="32"/>
  <c r="E37" i="32"/>
  <c r="E32" i="32"/>
  <c r="E28" i="32"/>
  <c r="E21" i="32"/>
  <c r="D12" i="32"/>
  <c r="D11" i="32"/>
  <c r="D10" i="32"/>
  <c r="F56" i="31"/>
  <c r="F57" i="31" s="1"/>
  <c r="E56" i="31"/>
  <c r="E57" i="31" s="1"/>
  <c r="F52" i="31"/>
  <c r="E52" i="31"/>
  <c r="F49" i="31"/>
  <c r="F50" i="31" s="1"/>
  <c r="E49" i="31"/>
  <c r="E50" i="31" s="1"/>
  <c r="F46" i="31"/>
  <c r="E46" i="31"/>
  <c r="E42" i="31"/>
  <c r="E37" i="31"/>
  <c r="E32" i="31"/>
  <c r="E28" i="31"/>
  <c r="E21" i="31"/>
  <c r="D12" i="31"/>
  <c r="D11" i="31"/>
  <c r="D10" i="31"/>
  <c r="D10" i="6"/>
  <c r="E32" i="19" l="1"/>
  <c r="E25" i="33"/>
  <c r="E25" i="32"/>
  <c r="E25" i="31"/>
  <c r="D18" i="33"/>
  <c r="E44" i="33" s="1"/>
  <c r="D18" i="32"/>
  <c r="E27" i="32" s="1"/>
  <c r="D18" i="31"/>
  <c r="E44" i="31" s="1"/>
  <c r="E59" i="33"/>
  <c r="E59" i="32"/>
  <c r="E59" i="31"/>
  <c r="D12" i="6"/>
  <c r="D11" i="6"/>
  <c r="E61" i="33" l="1"/>
  <c r="E61" i="32"/>
  <c r="E61" i="31"/>
  <c r="E27" i="33"/>
  <c r="E20" i="33"/>
  <c r="E20" i="32"/>
  <c r="E44" i="32"/>
  <c r="E20" i="31"/>
  <c r="E27" i="31"/>
  <c r="G64" i="28" l="1"/>
  <c r="G65" i="28" s="1"/>
  <c r="F64" i="28"/>
  <c r="F65" i="28" s="1"/>
  <c r="G56" i="28"/>
  <c r="G57" i="28" s="1"/>
  <c r="F56" i="28"/>
  <c r="F57" i="28" s="1"/>
  <c r="F48" i="28"/>
  <c r="F43" i="28"/>
  <c r="F67" i="28" l="1"/>
  <c r="K18" i="26"/>
  <c r="J18" i="26"/>
  <c r="H18" i="26"/>
  <c r="K12" i="26"/>
  <c r="J12" i="26"/>
  <c r="I12" i="26"/>
  <c r="H12" i="26"/>
  <c r="K6" i="26"/>
  <c r="J6" i="26"/>
  <c r="I6" i="26"/>
  <c r="H6" i="26"/>
  <c r="L4" i="26" l="1"/>
  <c r="E5" i="25" s="1"/>
  <c r="H5" i="25" s="1"/>
  <c r="L10" i="26"/>
  <c r="E7" i="25" s="1"/>
  <c r="H7" i="25" s="1"/>
  <c r="E107" i="25"/>
  <c r="E142" i="25" s="1"/>
  <c r="E181" i="25" s="1"/>
  <c r="E216" i="25" s="1"/>
  <c r="B214" i="25" l="1"/>
  <c r="E266" i="25"/>
  <c r="E265" i="25"/>
  <c r="W182" i="25" l="1"/>
  <c r="W108" i="25"/>
  <c r="E283" i="25"/>
  <c r="F290" i="25"/>
  <c r="E288" i="25"/>
  <c r="F283" i="25"/>
  <c r="E290" i="25"/>
  <c r="E289" i="25"/>
  <c r="F288" i="25"/>
  <c r="F289" i="25"/>
  <c r="E267" i="25"/>
  <c r="E282" i="25"/>
  <c r="F282" i="25"/>
  <c r="E56" i="8"/>
  <c r="E57" i="8" s="1"/>
  <c r="F284" i="25" l="1"/>
  <c r="F285" i="25" s="1"/>
  <c r="F291" i="25"/>
  <c r="F292" i="25" s="1"/>
  <c r="E291" i="25"/>
  <c r="E292" i="25" s="1"/>
  <c r="E284" i="25"/>
  <c r="E285" i="25" s="1"/>
  <c r="F27" i="15"/>
  <c r="F38" i="28"/>
  <c r="E294" i="25" l="1"/>
  <c r="E56" i="19"/>
  <c r="D18" i="8" l="1"/>
  <c r="D18" i="19" l="1"/>
  <c r="E20" i="19" s="1"/>
  <c r="E44" i="8"/>
  <c r="E46" i="6"/>
  <c r="F46" i="6"/>
  <c r="E52" i="6"/>
  <c r="F52" i="6"/>
  <c r="E46" i="8"/>
  <c r="F46" i="8"/>
  <c r="E52" i="8"/>
  <c r="F52" i="8"/>
  <c r="E46" i="19"/>
  <c r="F46" i="19"/>
  <c r="E52" i="19"/>
  <c r="F52" i="19"/>
  <c r="F57" i="19"/>
  <c r="E57" i="19"/>
  <c r="F49" i="19"/>
  <c r="F50" i="19" s="1"/>
  <c r="E49" i="19"/>
  <c r="E50" i="19" s="1"/>
  <c r="E42" i="19"/>
  <c r="E37" i="19"/>
  <c r="E28" i="19"/>
  <c r="E25" i="19"/>
  <c r="E21" i="19"/>
  <c r="E25" i="6"/>
  <c r="E25" i="8"/>
  <c r="E21" i="8"/>
  <c r="E28" i="8"/>
  <c r="E28" i="6"/>
  <c r="E21" i="6"/>
  <c r="F31" i="28" l="1"/>
  <c r="F69" i="28" s="1"/>
  <c r="B72" i="28" s="1"/>
  <c r="E59" i="19"/>
  <c r="E61" i="19" s="1"/>
  <c r="E27" i="19"/>
  <c r="E44" i="19"/>
  <c r="E49" i="6"/>
  <c r="E50" i="6" s="1"/>
  <c r="H4" i="2"/>
  <c r="B73" i="28" l="1"/>
  <c r="H3" i="2"/>
  <c r="F56" i="8"/>
  <c r="F57" i="8" s="1"/>
  <c r="F50" i="8"/>
  <c r="E49" i="8"/>
  <c r="E50" i="8" s="1"/>
  <c r="E42" i="8"/>
  <c r="E37" i="8"/>
  <c r="F56" i="6"/>
  <c r="F57" i="6" s="1"/>
  <c r="E56" i="6"/>
  <c r="E57" i="6" s="1"/>
  <c r="F49" i="6"/>
  <c r="F50" i="6" s="1"/>
  <c r="E42" i="6"/>
  <c r="E37" i="6"/>
  <c r="G53" i="15"/>
  <c r="G54" i="15" s="1"/>
  <c r="F53" i="15"/>
  <c r="F54" i="15" s="1"/>
  <c r="G45" i="15"/>
  <c r="G46" i="15" s="1"/>
  <c r="F45" i="15"/>
  <c r="F46" i="15" s="1"/>
  <c r="F32" i="15"/>
  <c r="F39" i="15"/>
  <c r="E27" i="8"/>
  <c r="E20" i="8"/>
  <c r="F56" i="15" l="1"/>
  <c r="F58" i="15" s="1"/>
  <c r="B60" i="15" s="1"/>
  <c r="E59" i="8"/>
  <c r="E61" i="8" s="1"/>
  <c r="E59" i="6"/>
  <c r="E61" i="6" s="1"/>
  <c r="F22" i="15"/>
  <c r="D18" i="6"/>
  <c r="B62" i="15" l="1"/>
  <c r="E24" i="28"/>
  <c r="F50" i="28" s="1"/>
  <c r="E44" i="6"/>
  <c r="E27" i="6"/>
  <c r="E20" i="6"/>
  <c r="F33" i="28" l="1"/>
  <c r="F26" i="28"/>
  <c r="I17" i="26"/>
  <c r="I18" i="26" s="1"/>
  <c r="L16" i="26" s="1"/>
  <c r="E9" i="25" s="1"/>
  <c r="H9" i="25" l="1"/>
  <c r="T159" i="25" l="1"/>
  <c r="T28" i="25"/>
  <c r="X198" i="25" l="1"/>
  <c r="Z200" i="25"/>
  <c r="AB202" i="25"/>
  <c r="AD204" i="25"/>
  <c r="AF206" i="25"/>
  <c r="X210" i="25"/>
  <c r="AB124" i="25"/>
  <c r="AD126" i="25"/>
  <c r="AF128" i="25"/>
  <c r="X132" i="25"/>
  <c r="Z134" i="25"/>
  <c r="AB136" i="25"/>
  <c r="Q200" i="25"/>
  <c r="Q207" i="25"/>
  <c r="Q133" i="25"/>
  <c r="Q54" i="25"/>
  <c r="Q60" i="25"/>
  <c r="Z199" i="25"/>
  <c r="AB201" i="25"/>
  <c r="AD203" i="25"/>
  <c r="AF205" i="25"/>
  <c r="X209" i="25"/>
  <c r="Z211" i="25"/>
  <c r="AF127" i="25"/>
  <c r="Z198" i="25"/>
  <c r="AB200" i="25"/>
  <c r="AD202" i="25"/>
  <c r="AF204" i="25"/>
  <c r="X208" i="25"/>
  <c r="Z210" i="25"/>
  <c r="AD124" i="25"/>
  <c r="AF126" i="25"/>
  <c r="X130" i="25"/>
  <c r="Z132" i="25"/>
  <c r="AB134" i="25"/>
  <c r="AD136" i="25"/>
  <c r="Q204" i="25"/>
  <c r="Q130" i="25"/>
  <c r="Q137" i="25"/>
  <c r="Q55" i="25"/>
  <c r="Q61" i="25"/>
  <c r="X127" i="25"/>
  <c r="AB131" i="25"/>
  <c r="AF135" i="25"/>
  <c r="X50" i="25"/>
  <c r="AB199" i="25"/>
  <c r="AD201" i="25"/>
  <c r="AF203" i="25"/>
  <c r="X207" i="25"/>
  <c r="Z209" i="25"/>
  <c r="AB211" i="25"/>
  <c r="AF125" i="25"/>
  <c r="X129" i="25"/>
  <c r="Z131" i="25"/>
  <c r="AB133" i="25"/>
  <c r="AD135" i="25"/>
  <c r="AF137" i="25"/>
  <c r="X51" i="25"/>
  <c r="Z52" i="25"/>
  <c r="AB53" i="25"/>
  <c r="AD54" i="25"/>
  <c r="AF55" i="25"/>
  <c r="X57" i="25"/>
  <c r="Z58" i="25"/>
  <c r="AB59" i="25"/>
  <c r="AD60" i="25"/>
  <c r="AF61" i="25"/>
  <c r="X63" i="25"/>
  <c r="Q208" i="25"/>
  <c r="Q127" i="25"/>
  <c r="Q134" i="25"/>
  <c r="AB198" i="25"/>
  <c r="AD200" i="25"/>
  <c r="AF202" i="25"/>
  <c r="X206" i="25"/>
  <c r="Z208" i="25"/>
  <c r="AB210" i="25"/>
  <c r="AF124" i="25"/>
  <c r="X128" i="25"/>
  <c r="Z130" i="25"/>
  <c r="AB132" i="25"/>
  <c r="AD134" i="25"/>
  <c r="AF136" i="25"/>
  <c r="Q201" i="25"/>
  <c r="Q50" i="25"/>
  <c r="Q56" i="25"/>
  <c r="Q62" i="25"/>
  <c r="AD199" i="25"/>
  <c r="AF201" i="25"/>
  <c r="X205" i="25"/>
  <c r="Z207" i="25"/>
  <c r="AB209" i="25"/>
  <c r="AD211" i="25"/>
  <c r="Z129" i="25"/>
  <c r="AD133" i="25"/>
  <c r="AD198" i="25"/>
  <c r="AF200" i="25"/>
  <c r="X204" i="25"/>
  <c r="Z206" i="25"/>
  <c r="AB208" i="25"/>
  <c r="AD210" i="25"/>
  <c r="X126" i="25"/>
  <c r="Z128" i="25"/>
  <c r="AF199" i="25"/>
  <c r="X203" i="25"/>
  <c r="Z205" i="25"/>
  <c r="AB207" i="25"/>
  <c r="AD209" i="25"/>
  <c r="AF211" i="25"/>
  <c r="X125" i="25"/>
  <c r="Z127" i="25"/>
  <c r="AF198" i="25"/>
  <c r="X202" i="25"/>
  <c r="Z204" i="25"/>
  <c r="AB206" i="25"/>
  <c r="AD208" i="25"/>
  <c r="AF210" i="25"/>
  <c r="X124" i="25"/>
  <c r="Z126" i="25"/>
  <c r="AB128" i="25"/>
  <c r="AD130" i="25"/>
  <c r="AF132" i="25"/>
  <c r="X136" i="25"/>
  <c r="Q206" i="25"/>
  <c r="Q125" i="25"/>
  <c r="Q52" i="25"/>
  <c r="Q58" i="25"/>
  <c r="AF209" i="25"/>
  <c r="AB127" i="25"/>
  <c r="AD129" i="25"/>
  <c r="AF131" i="25"/>
  <c r="X135" i="25"/>
  <c r="Z137" i="25"/>
  <c r="AB50" i="25"/>
  <c r="AD51" i="25"/>
  <c r="AF52" i="25"/>
  <c r="X54" i="25"/>
  <c r="Z55" i="25"/>
  <c r="AB56" i="25"/>
  <c r="AD57" i="25"/>
  <c r="AF58" i="25"/>
  <c r="X201" i="25"/>
  <c r="Z203" i="25"/>
  <c r="AB205" i="25"/>
  <c r="AD207" i="25"/>
  <c r="Z125" i="25"/>
  <c r="Z124" i="25"/>
  <c r="AD61" i="25"/>
  <c r="AF63" i="25"/>
  <c r="AD128" i="25"/>
  <c r="X131" i="25"/>
  <c r="AF133" i="25"/>
  <c r="Z50" i="25"/>
  <c r="AD52" i="25"/>
  <c r="X55" i="25"/>
  <c r="AF59" i="25"/>
  <c r="Q205" i="25"/>
  <c r="X199" i="25"/>
  <c r="AB203" i="25"/>
  <c r="AF207" i="25"/>
  <c r="Z136" i="25"/>
  <c r="X60" i="25"/>
  <c r="Q210" i="25"/>
  <c r="Q131" i="25"/>
  <c r="Q57" i="25"/>
  <c r="AD131" i="25"/>
  <c r="X134" i="25"/>
  <c r="AD50" i="25"/>
  <c r="X53" i="25"/>
  <c r="AB55" i="25"/>
  <c r="AF57" i="25"/>
  <c r="Z62" i="25"/>
  <c r="X200" i="25"/>
  <c r="AB204" i="25"/>
  <c r="AF208" i="25"/>
  <c r="AB125" i="25"/>
  <c r="AB129" i="25"/>
  <c r="AF50" i="25"/>
  <c r="Z53" i="25"/>
  <c r="AD55" i="25"/>
  <c r="X58" i="25"/>
  <c r="Z60" i="25"/>
  <c r="AB62" i="25"/>
  <c r="Q136" i="25"/>
  <c r="AF129" i="25"/>
  <c r="X137" i="25"/>
  <c r="AF60" i="25"/>
  <c r="AD62" i="25"/>
  <c r="Q202" i="25"/>
  <c r="AF53" i="25"/>
  <c r="AD58" i="25"/>
  <c r="AF62" i="25"/>
  <c r="Q51" i="25"/>
  <c r="AD125" i="25"/>
  <c r="Z51" i="25"/>
  <c r="AD53" i="25"/>
  <c r="X56" i="25"/>
  <c r="AB58" i="25"/>
  <c r="AB60" i="25"/>
  <c r="Q211" i="25"/>
  <c r="Q128" i="25"/>
  <c r="Q59" i="25"/>
  <c r="AB51" i="25"/>
  <c r="AF134" i="25"/>
  <c r="Q132" i="25"/>
  <c r="AB126" i="25"/>
  <c r="AD132" i="25"/>
  <c r="Z56" i="25"/>
  <c r="Q198" i="25"/>
  <c r="Z201" i="25"/>
  <c r="AD205" i="25"/>
  <c r="AB130" i="25"/>
  <c r="AB137" i="25"/>
  <c r="X61" i="25"/>
  <c r="Z63" i="25"/>
  <c r="Q203" i="25"/>
  <c r="Q124" i="25"/>
  <c r="AD137" i="25"/>
  <c r="AF51" i="25"/>
  <c r="AD56" i="25"/>
  <c r="X59" i="25"/>
  <c r="Z61" i="25"/>
  <c r="Q63" i="25"/>
  <c r="Z202" i="25"/>
  <c r="AD206" i="25"/>
  <c r="X211" i="25"/>
  <c r="X133" i="25"/>
  <c r="Z135" i="25"/>
  <c r="X52" i="25"/>
  <c r="AB54" i="25"/>
  <c r="AF56" i="25"/>
  <c r="Z59" i="25"/>
  <c r="AB63" i="25"/>
  <c r="Q209" i="25"/>
  <c r="Q53" i="25"/>
  <c r="AB57" i="25"/>
  <c r="Q135" i="25"/>
  <c r="Z54" i="25"/>
  <c r="Q129" i="25"/>
  <c r="AF130" i="25"/>
  <c r="Q199" i="25"/>
  <c r="X62" i="25"/>
  <c r="AD127" i="25"/>
  <c r="Z133" i="25"/>
  <c r="AB135" i="25"/>
  <c r="AB52" i="25"/>
  <c r="AF54" i="25"/>
  <c r="Z57" i="25"/>
  <c r="AD59" i="25"/>
  <c r="AB61" i="25"/>
  <c r="AD63" i="25"/>
  <c r="Q126" i="25"/>
  <c r="W35" i="25"/>
  <c r="W36" i="25"/>
  <c r="W37" i="25"/>
  <c r="W38" i="25"/>
  <c r="AD183" i="25"/>
  <c r="AF184" i="25"/>
  <c r="X186" i="25"/>
  <c r="Z187" i="25"/>
  <c r="AB188" i="25"/>
  <c r="AD189" i="25"/>
  <c r="AF190" i="25"/>
  <c r="X192" i="25"/>
  <c r="Z193" i="25"/>
  <c r="AB194" i="25"/>
  <c r="AD195" i="25"/>
  <c r="AF196" i="25"/>
  <c r="X35" i="25"/>
  <c r="Z36" i="25"/>
  <c r="AB37" i="25"/>
  <c r="AD38" i="25"/>
  <c r="AF39" i="25"/>
  <c r="X41" i="25"/>
  <c r="Z42" i="25"/>
  <c r="AB43" i="25"/>
  <c r="AD44" i="25"/>
  <c r="AF45" i="25"/>
  <c r="X47" i="25"/>
  <c r="Z48" i="25"/>
  <c r="AB49" i="25"/>
  <c r="Q185" i="25"/>
  <c r="Q197" i="25"/>
  <c r="Q111" i="25"/>
  <c r="Q123" i="25"/>
  <c r="Q37" i="25"/>
  <c r="Q49" i="25"/>
  <c r="Q186" i="25"/>
  <c r="Q112" i="25"/>
  <c r="Q38" i="25"/>
  <c r="Q34" i="25"/>
  <c r="Q114" i="25"/>
  <c r="Q189" i="25"/>
  <c r="AF115" i="25"/>
  <c r="Q110" i="25"/>
  <c r="X110" i="25"/>
  <c r="Z111" i="25"/>
  <c r="AB112" i="25"/>
  <c r="AD113" i="25"/>
  <c r="AF114" i="25"/>
  <c r="X116" i="25"/>
  <c r="Z117" i="25"/>
  <c r="AB118" i="25"/>
  <c r="AD119" i="25"/>
  <c r="AF120" i="25"/>
  <c r="X122" i="25"/>
  <c r="Z123" i="25"/>
  <c r="Q40" i="25"/>
  <c r="AF183" i="25"/>
  <c r="X185" i="25"/>
  <c r="Z186" i="25"/>
  <c r="AB187" i="25"/>
  <c r="AD188" i="25"/>
  <c r="AF189" i="25"/>
  <c r="X191" i="25"/>
  <c r="Z192" i="25"/>
  <c r="AB193" i="25"/>
  <c r="AD194" i="25"/>
  <c r="AF195" i="25"/>
  <c r="X197" i="25"/>
  <c r="Z35" i="25"/>
  <c r="AB36" i="25"/>
  <c r="AD37" i="25"/>
  <c r="AF38" i="25"/>
  <c r="X40" i="25"/>
  <c r="Z41" i="25"/>
  <c r="AB42" i="25"/>
  <c r="AD43" i="25"/>
  <c r="AF44" i="25"/>
  <c r="X46" i="25"/>
  <c r="Z47" i="25"/>
  <c r="AB48" i="25"/>
  <c r="AD49" i="25"/>
  <c r="Q187" i="25"/>
  <c r="Q113" i="25"/>
  <c r="Q39" i="25"/>
  <c r="Q188" i="25"/>
  <c r="Q115" i="25"/>
  <c r="Q41" i="25"/>
  <c r="X117" i="25"/>
  <c r="Q122" i="25"/>
  <c r="X109" i="25"/>
  <c r="Z110" i="25"/>
  <c r="AB111" i="25"/>
  <c r="AD112" i="25"/>
  <c r="AF113" i="25"/>
  <c r="X115" i="25"/>
  <c r="Z116" i="25"/>
  <c r="AB117" i="25"/>
  <c r="AD118" i="25"/>
  <c r="AF119" i="25"/>
  <c r="X121" i="25"/>
  <c r="Z122" i="25"/>
  <c r="AB123" i="25"/>
  <c r="X184" i="25"/>
  <c r="Z185" i="25"/>
  <c r="AB186" i="25"/>
  <c r="AD187" i="25"/>
  <c r="AF188" i="25"/>
  <c r="X190" i="25"/>
  <c r="Z191" i="25"/>
  <c r="AB192" i="25"/>
  <c r="AD193" i="25"/>
  <c r="AF194" i="25"/>
  <c r="X196" i="25"/>
  <c r="Z197" i="25"/>
  <c r="AB35" i="25"/>
  <c r="AD36" i="25"/>
  <c r="AF37" i="25"/>
  <c r="X39" i="25"/>
  <c r="Z40" i="25"/>
  <c r="AB41" i="25"/>
  <c r="AD42" i="25"/>
  <c r="AF43" i="25"/>
  <c r="X45" i="25"/>
  <c r="Z46" i="25"/>
  <c r="AB47" i="25"/>
  <c r="AD48" i="25"/>
  <c r="AF49" i="25"/>
  <c r="Z109" i="25"/>
  <c r="AB110" i="25"/>
  <c r="AD111" i="25"/>
  <c r="AF112" i="25"/>
  <c r="X114" i="25"/>
  <c r="Z115" i="25"/>
  <c r="AB116" i="25"/>
  <c r="AD117" i="25"/>
  <c r="AF118" i="25"/>
  <c r="X120" i="25"/>
  <c r="Z121" i="25"/>
  <c r="AB122" i="25"/>
  <c r="AD123" i="25"/>
  <c r="Q190" i="25"/>
  <c r="Q116" i="25"/>
  <c r="Q42" i="25"/>
  <c r="AF109" i="25"/>
  <c r="Z112" i="25"/>
  <c r="AB113" i="25"/>
  <c r="Z118" i="25"/>
  <c r="Q184" i="25"/>
  <c r="X183" i="25"/>
  <c r="Z184" i="25"/>
  <c r="AB185" i="25"/>
  <c r="AD186" i="25"/>
  <c r="AF187" i="25"/>
  <c r="X189" i="25"/>
  <c r="Z190" i="25"/>
  <c r="AB191" i="25"/>
  <c r="AD192" i="25"/>
  <c r="AF193" i="25"/>
  <c r="X195" i="25"/>
  <c r="Z196" i="25"/>
  <c r="AB197" i="25"/>
  <c r="AD35" i="25"/>
  <c r="AF36" i="25"/>
  <c r="X38" i="25"/>
  <c r="Z39" i="25"/>
  <c r="AB40" i="25"/>
  <c r="AD41" i="25"/>
  <c r="AF42" i="25"/>
  <c r="X44" i="25"/>
  <c r="Z45" i="25"/>
  <c r="AB46" i="25"/>
  <c r="AD47" i="25"/>
  <c r="AF48" i="25"/>
  <c r="Q191" i="25"/>
  <c r="Q117" i="25"/>
  <c r="Q43" i="25"/>
  <c r="Q192" i="25"/>
  <c r="Q44" i="25"/>
  <c r="Q194" i="25"/>
  <c r="Q46" i="25"/>
  <c r="AD120" i="25"/>
  <c r="Q36" i="25"/>
  <c r="AB109" i="25"/>
  <c r="AD110" i="25"/>
  <c r="AF111" i="25"/>
  <c r="X113" i="25"/>
  <c r="Z114" i="25"/>
  <c r="AB115" i="25"/>
  <c r="AD116" i="25"/>
  <c r="AF117" i="25"/>
  <c r="X119" i="25"/>
  <c r="Z120" i="25"/>
  <c r="AB121" i="25"/>
  <c r="AD122" i="25"/>
  <c r="AF123" i="25"/>
  <c r="Q118" i="25"/>
  <c r="Q120" i="25"/>
  <c r="AB119" i="25"/>
  <c r="Z183" i="25"/>
  <c r="AB184" i="25"/>
  <c r="AD185" i="25"/>
  <c r="AF186" i="25"/>
  <c r="X188" i="25"/>
  <c r="Z189" i="25"/>
  <c r="AB190" i="25"/>
  <c r="AD191" i="25"/>
  <c r="AF192" i="25"/>
  <c r="X194" i="25"/>
  <c r="Z195" i="25"/>
  <c r="AB196" i="25"/>
  <c r="AD197" i="25"/>
  <c r="AF35" i="25"/>
  <c r="X37" i="25"/>
  <c r="Z38" i="25"/>
  <c r="AB39" i="25"/>
  <c r="AD40" i="25"/>
  <c r="AF41" i="25"/>
  <c r="X43" i="25"/>
  <c r="Z44" i="25"/>
  <c r="AB45" i="25"/>
  <c r="AD46" i="25"/>
  <c r="AF47" i="25"/>
  <c r="X49" i="25"/>
  <c r="Q193" i="25"/>
  <c r="Q119" i="25"/>
  <c r="Q45" i="25"/>
  <c r="X123" i="25"/>
  <c r="Q48" i="25"/>
  <c r="AD109" i="25"/>
  <c r="AF110" i="25"/>
  <c r="X112" i="25"/>
  <c r="Z113" i="25"/>
  <c r="AB114" i="25"/>
  <c r="AD115" i="25"/>
  <c r="AF116" i="25"/>
  <c r="X118" i="25"/>
  <c r="Z119" i="25"/>
  <c r="AB120" i="25"/>
  <c r="AD121" i="25"/>
  <c r="AF122" i="25"/>
  <c r="AB183" i="25"/>
  <c r="AD184" i="25"/>
  <c r="AF185" i="25"/>
  <c r="X187" i="25"/>
  <c r="Z188" i="25"/>
  <c r="AB189" i="25"/>
  <c r="AD190" i="25"/>
  <c r="AF191" i="25"/>
  <c r="X193" i="25"/>
  <c r="Z194" i="25"/>
  <c r="AB195" i="25"/>
  <c r="AD196" i="25"/>
  <c r="AF197" i="25"/>
  <c r="X36" i="25"/>
  <c r="Z37" i="25"/>
  <c r="AB38" i="25"/>
  <c r="AD39" i="25"/>
  <c r="AF40" i="25"/>
  <c r="X42" i="25"/>
  <c r="Z43" i="25"/>
  <c r="AB44" i="25"/>
  <c r="AD45" i="25"/>
  <c r="AF46" i="25"/>
  <c r="X48" i="25"/>
  <c r="Z49" i="25"/>
  <c r="Q183" i="25"/>
  <c r="Q195" i="25"/>
  <c r="Q109" i="25"/>
  <c r="Q121" i="25"/>
  <c r="Q35" i="25"/>
  <c r="Q47" i="25"/>
  <c r="X111" i="25"/>
  <c r="AD114" i="25"/>
  <c r="AF121" i="25"/>
  <c r="Q196" i="25"/>
  <c r="AB34" i="25"/>
  <c r="Q108" i="25"/>
  <c r="W34" i="25"/>
  <c r="AB182" i="25"/>
  <c r="AF108" i="25"/>
  <c r="X34" i="25"/>
  <c r="AB108" i="25"/>
  <c r="Z108" i="25"/>
  <c r="AD34" i="25"/>
  <c r="Z34" i="25"/>
  <c r="AD182" i="25"/>
  <c r="X182" i="25"/>
  <c r="Q182" i="25"/>
  <c r="AF182" i="25"/>
  <c r="AF34" i="25"/>
  <c r="X108" i="25"/>
  <c r="AD108" i="25"/>
  <c r="Z182" i="25"/>
  <c r="T30" i="25"/>
  <c r="T161" i="25"/>
  <c r="T216" i="25" s="1"/>
  <c r="U216" i="25" s="1"/>
  <c r="Q212" i="25" l="1"/>
  <c r="AA235" i="25"/>
  <c r="AE237" i="25"/>
  <c r="Y240" i="25"/>
  <c r="AC242" i="25"/>
  <c r="AG244" i="25"/>
  <c r="Y199" i="25"/>
  <c r="AA201" i="25"/>
  <c r="AC203" i="25"/>
  <c r="AE205" i="25"/>
  <c r="AG207" i="25"/>
  <c r="Y211" i="25"/>
  <c r="AE159" i="25"/>
  <c r="Y162" i="25"/>
  <c r="AC164" i="25"/>
  <c r="AG166" i="25"/>
  <c r="AA169" i="25"/>
  <c r="AE171" i="25"/>
  <c r="AC125" i="25"/>
  <c r="AE127" i="25"/>
  <c r="AG129" i="25"/>
  <c r="Y133" i="25"/>
  <c r="AA135" i="25"/>
  <c r="AC137" i="25"/>
  <c r="AC86" i="25"/>
  <c r="AG88" i="25"/>
  <c r="AA93" i="25"/>
  <c r="AE95" i="25"/>
  <c r="Y98" i="25"/>
  <c r="AE50" i="25"/>
  <c r="AG51" i="25"/>
  <c r="Y53" i="25"/>
  <c r="AA54" i="25"/>
  <c r="AC55" i="25"/>
  <c r="AE56" i="25"/>
  <c r="AG57" i="25"/>
  <c r="Y59" i="25"/>
  <c r="AA60" i="25"/>
  <c r="AC61" i="25"/>
  <c r="AE62" i="25"/>
  <c r="AG63" i="25"/>
  <c r="R126" i="25"/>
  <c r="R136" i="25"/>
  <c r="Y233" i="25"/>
  <c r="AC235" i="25"/>
  <c r="AG237" i="25"/>
  <c r="AA240" i="25"/>
  <c r="AE242" i="25"/>
  <c r="Y245" i="25"/>
  <c r="Y198" i="25"/>
  <c r="AA200" i="25"/>
  <c r="AC202" i="25"/>
  <c r="AE204" i="25"/>
  <c r="AG206" i="25"/>
  <c r="Y210" i="25"/>
  <c r="AG159" i="25"/>
  <c r="AA162" i="25"/>
  <c r="AE164" i="25"/>
  <c r="Y167" i="25"/>
  <c r="AC169" i="25"/>
  <c r="AG171" i="25"/>
  <c r="AC124" i="25"/>
  <c r="AE126" i="25"/>
  <c r="AG128" i="25"/>
  <c r="AA233" i="25"/>
  <c r="AE235" i="25"/>
  <c r="Y238" i="25"/>
  <c r="AC240" i="25"/>
  <c r="AG242" i="25"/>
  <c r="AA245" i="25"/>
  <c r="AA199" i="25"/>
  <c r="AC201" i="25"/>
  <c r="AE203" i="25"/>
  <c r="AG205" i="25"/>
  <c r="Y209" i="25"/>
  <c r="AA211" i="25"/>
  <c r="Y160" i="25"/>
  <c r="AC162" i="25"/>
  <c r="AG164" i="25"/>
  <c r="AA167" i="25"/>
  <c r="AE169" i="25"/>
  <c r="Y172" i="25"/>
  <c r="AE125" i="25"/>
  <c r="AG127" i="25"/>
  <c r="Y131" i="25"/>
  <c r="AA133" i="25"/>
  <c r="AC135" i="25"/>
  <c r="AE137" i="25"/>
  <c r="AG86" i="25"/>
  <c r="AA91" i="25"/>
  <c r="AE93" i="25"/>
  <c r="Y96" i="25"/>
  <c r="AC98" i="25"/>
  <c r="AG50" i="25"/>
  <c r="Y52" i="25"/>
  <c r="AA53" i="25"/>
  <c r="AC54" i="25"/>
  <c r="AE55" i="25"/>
  <c r="AG56" i="25"/>
  <c r="Y58" i="25"/>
  <c r="AA59" i="25"/>
  <c r="AC60" i="25"/>
  <c r="AE61" i="25"/>
  <c r="AG62" i="25"/>
  <c r="R211" i="25"/>
  <c r="R55" i="25"/>
  <c r="AC165" i="25"/>
  <c r="Y128" i="25"/>
  <c r="AA130" i="25"/>
  <c r="AC132" i="25"/>
  <c r="AE134" i="25"/>
  <c r="Y85" i="25"/>
  <c r="AG91" i="25"/>
  <c r="AA94" i="25"/>
  <c r="AC233" i="25"/>
  <c r="AG235" i="25"/>
  <c r="AA238" i="25"/>
  <c r="AE240" i="25"/>
  <c r="Y243" i="25"/>
  <c r="AC245" i="25"/>
  <c r="AA198" i="25"/>
  <c r="AC200" i="25"/>
  <c r="AE202" i="25"/>
  <c r="AG204" i="25"/>
  <c r="Y208" i="25"/>
  <c r="AA210" i="25"/>
  <c r="AA160" i="25"/>
  <c r="AE162" i="25"/>
  <c r="Y165" i="25"/>
  <c r="AC167" i="25"/>
  <c r="AG169" i="25"/>
  <c r="AA172" i="25"/>
  <c r="AE124" i="25"/>
  <c r="AG126" i="25"/>
  <c r="Y130" i="25"/>
  <c r="AA132" i="25"/>
  <c r="AC134" i="25"/>
  <c r="AE136" i="25"/>
  <c r="Y87" i="25"/>
  <c r="AC91" i="25"/>
  <c r="AG93" i="25"/>
  <c r="AA96" i="25"/>
  <c r="AE98" i="25"/>
  <c r="R204" i="25"/>
  <c r="R130" i="25"/>
  <c r="R137" i="25"/>
  <c r="R61" i="25"/>
  <c r="AA170" i="25"/>
  <c r="AC87" i="25"/>
  <c r="AE233" i="25"/>
  <c r="Y236" i="25"/>
  <c r="AC238" i="25"/>
  <c r="AG240" i="25"/>
  <c r="AA243" i="25"/>
  <c r="AE245" i="25"/>
  <c r="AC199" i="25"/>
  <c r="AE201" i="25"/>
  <c r="AG203" i="25"/>
  <c r="Y207" i="25"/>
  <c r="AA209" i="25"/>
  <c r="AC211" i="25"/>
  <c r="AC160" i="25"/>
  <c r="AG162" i="25"/>
  <c r="AA165" i="25"/>
  <c r="AE167" i="25"/>
  <c r="Y170" i="25"/>
  <c r="AC172" i="25"/>
  <c r="AG125" i="25"/>
  <c r="Y129" i="25"/>
  <c r="AA131" i="25"/>
  <c r="AC133" i="25"/>
  <c r="AE135" i="25"/>
  <c r="AG137" i="25"/>
  <c r="AA87" i="25"/>
  <c r="AE91" i="25"/>
  <c r="Y94" i="25"/>
  <c r="AC96" i="25"/>
  <c r="AG98" i="25"/>
  <c r="Y51" i="25"/>
  <c r="AA52" i="25"/>
  <c r="AC53" i="25"/>
  <c r="AE54" i="25"/>
  <c r="AG55" i="25"/>
  <c r="Y57" i="25"/>
  <c r="AA58" i="25"/>
  <c r="AC59" i="25"/>
  <c r="AE60" i="25"/>
  <c r="AG61" i="25"/>
  <c r="Y63" i="25"/>
  <c r="R208" i="25"/>
  <c r="R127" i="25"/>
  <c r="R134" i="25"/>
  <c r="AG233" i="25"/>
  <c r="AA236" i="25"/>
  <c r="AE238" i="25"/>
  <c r="Y241" i="25"/>
  <c r="AC243" i="25"/>
  <c r="AG245" i="25"/>
  <c r="AC198" i="25"/>
  <c r="AE200" i="25"/>
  <c r="AG202" i="25"/>
  <c r="Y206" i="25"/>
  <c r="AA208" i="25"/>
  <c r="AC210" i="25"/>
  <c r="AE160" i="25"/>
  <c r="Y163" i="25"/>
  <c r="AG167" i="25"/>
  <c r="AE172" i="25"/>
  <c r="AG124" i="25"/>
  <c r="AG136" i="25"/>
  <c r="Y234" i="25"/>
  <c r="AC236" i="25"/>
  <c r="AG238" i="25"/>
  <c r="AA241" i="25"/>
  <c r="AE243" i="25"/>
  <c r="Y246" i="25"/>
  <c r="AE199" i="25"/>
  <c r="AG201" i="25"/>
  <c r="Y205" i="25"/>
  <c r="AA207" i="25"/>
  <c r="AC209" i="25"/>
  <c r="AE211" i="25"/>
  <c r="AG160" i="25"/>
  <c r="AA163" i="25"/>
  <c r="AE165" i="25"/>
  <c r="Y168" i="25"/>
  <c r="AC170" i="25"/>
  <c r="AG172" i="25"/>
  <c r="Y127" i="25"/>
  <c r="AA129" i="25"/>
  <c r="AA234" i="25"/>
  <c r="AE236" i="25"/>
  <c r="Y239" i="25"/>
  <c r="AC241" i="25"/>
  <c r="AG243" i="25"/>
  <c r="AA246" i="25"/>
  <c r="AE198" i="25"/>
  <c r="AG200" i="25"/>
  <c r="Y204" i="25"/>
  <c r="AA206" i="25"/>
  <c r="AC208" i="25"/>
  <c r="AE210" i="25"/>
  <c r="Y161" i="25"/>
  <c r="AC163" i="25"/>
  <c r="AG165" i="25"/>
  <c r="AA168" i="25"/>
  <c r="AE170" i="25"/>
  <c r="Y126" i="25"/>
  <c r="AA128" i="25"/>
  <c r="AC234" i="25"/>
  <c r="AG236" i="25"/>
  <c r="AA239" i="25"/>
  <c r="AE241" i="25"/>
  <c r="Y244" i="25"/>
  <c r="AC246" i="25"/>
  <c r="AG199" i="25"/>
  <c r="Y203" i="25"/>
  <c r="AA205" i="25"/>
  <c r="AC207" i="25"/>
  <c r="AE209" i="25"/>
  <c r="AG211" i="25"/>
  <c r="AA161" i="25"/>
  <c r="AE163" i="25"/>
  <c r="Y166" i="25"/>
  <c r="AC168" i="25"/>
  <c r="AG170" i="25"/>
  <c r="Y125" i="25"/>
  <c r="AA127" i="25"/>
  <c r="AC129" i="25"/>
  <c r="AE131" i="25"/>
  <c r="AG133" i="25"/>
  <c r="Y137" i="25"/>
  <c r="AE85" i="25"/>
  <c r="Y88" i="25"/>
  <c r="AC92" i="25"/>
  <c r="AG94" i="25"/>
  <c r="AA97" i="25"/>
  <c r="AA50" i="25"/>
  <c r="AC51" i="25"/>
  <c r="AE52" i="25"/>
  <c r="AG53" i="25"/>
  <c r="Y55" i="25"/>
  <c r="AA56" i="25"/>
  <c r="AC57" i="25"/>
  <c r="AE58" i="25"/>
  <c r="AG59" i="25"/>
  <c r="Y61" i="25"/>
  <c r="AA62" i="25"/>
  <c r="AC63" i="25"/>
  <c r="R202" i="25"/>
  <c r="R135" i="25"/>
  <c r="AG163" i="25"/>
  <c r="AE168" i="25"/>
  <c r="Y171" i="25"/>
  <c r="Y124" i="25"/>
  <c r="AA126" i="25"/>
  <c r="AC128" i="25"/>
  <c r="AE130" i="25"/>
  <c r="AG132" i="25"/>
  <c r="Y136" i="25"/>
  <c r="AG85" i="25"/>
  <c r="AA88" i="25"/>
  <c r="AE92" i="25"/>
  <c r="Y95" i="25"/>
  <c r="AE234" i="25"/>
  <c r="Y237" i="25"/>
  <c r="AC239" i="25"/>
  <c r="AG241" i="25"/>
  <c r="AA244" i="25"/>
  <c r="AE246" i="25"/>
  <c r="AG198" i="25"/>
  <c r="Y202" i="25"/>
  <c r="AA204" i="25"/>
  <c r="AC206" i="25"/>
  <c r="AE208" i="25"/>
  <c r="AG210" i="25"/>
  <c r="Y159" i="25"/>
  <c r="AC161" i="25"/>
  <c r="AA166" i="25"/>
  <c r="AC97" i="25"/>
  <c r="AC159" i="25"/>
  <c r="AE133" i="25"/>
  <c r="AG135" i="25"/>
  <c r="Y86" i="25"/>
  <c r="AC93" i="25"/>
  <c r="Y50" i="25"/>
  <c r="AC52" i="25"/>
  <c r="AG54" i="25"/>
  <c r="AA57" i="25"/>
  <c r="AE59" i="25"/>
  <c r="AE63" i="25"/>
  <c r="R54" i="25"/>
  <c r="AC94" i="25"/>
  <c r="R56" i="25"/>
  <c r="AG234" i="25"/>
  <c r="AA203" i="25"/>
  <c r="AE207" i="25"/>
  <c r="AE161" i="25"/>
  <c r="AA124" i="25"/>
  <c r="Y235" i="25"/>
  <c r="AG161" i="25"/>
  <c r="AE128" i="25"/>
  <c r="AC131" i="25"/>
  <c r="AE86" i="25"/>
  <c r="AE94" i="25"/>
  <c r="AC50" i="25"/>
  <c r="AG52" i="25"/>
  <c r="AA55" i="25"/>
  <c r="AE57" i="25"/>
  <c r="Y62" i="25"/>
  <c r="R205" i="25"/>
  <c r="AA237" i="25"/>
  <c r="Y164" i="25"/>
  <c r="AA125" i="25"/>
  <c r="AA136" i="25"/>
  <c r="AE87" i="25"/>
  <c r="AA95" i="25"/>
  <c r="Y60" i="25"/>
  <c r="R210" i="25"/>
  <c r="R131" i="25"/>
  <c r="R57" i="25"/>
  <c r="AC237" i="25"/>
  <c r="AA164" i="25"/>
  <c r="AG131" i="25"/>
  <c r="Y134" i="25"/>
  <c r="AC136" i="25"/>
  <c r="AG87" i="25"/>
  <c r="AC95" i="25"/>
  <c r="R201" i="25"/>
  <c r="R58" i="25"/>
  <c r="AE88" i="25"/>
  <c r="AE96" i="25"/>
  <c r="AE53" i="25"/>
  <c r="Y56" i="25"/>
  <c r="AC58" i="25"/>
  <c r="R128" i="25"/>
  <c r="R59" i="25"/>
  <c r="Y91" i="25"/>
  <c r="AG60" i="25"/>
  <c r="R207" i="25"/>
  <c r="R132" i="25"/>
  <c r="R206" i="25"/>
  <c r="AE239" i="25"/>
  <c r="Y200" i="25"/>
  <c r="AC204" i="25"/>
  <c r="AG208" i="25"/>
  <c r="AC166" i="25"/>
  <c r="AE129" i="25"/>
  <c r="AA134" i="25"/>
  <c r="AC88" i="25"/>
  <c r="AG95" i="25"/>
  <c r="AC62" i="25"/>
  <c r="Y132" i="25"/>
  <c r="R50" i="25"/>
  <c r="R60" i="25"/>
  <c r="AG239" i="25"/>
  <c r="AE166" i="25"/>
  <c r="AA51" i="25"/>
  <c r="Y242" i="25"/>
  <c r="Y201" i="25"/>
  <c r="AC205" i="25"/>
  <c r="AG209" i="25"/>
  <c r="AG168" i="25"/>
  <c r="AG134" i="25"/>
  <c r="AA137" i="25"/>
  <c r="AG96" i="25"/>
  <c r="AA242" i="25"/>
  <c r="Y169" i="25"/>
  <c r="AC126" i="25"/>
  <c r="AE132" i="25"/>
  <c r="Y92" i="25"/>
  <c r="Y97" i="25"/>
  <c r="AE51" i="25"/>
  <c r="Y54" i="25"/>
  <c r="AC56" i="25"/>
  <c r="AG58" i="25"/>
  <c r="R198" i="25"/>
  <c r="R51" i="25"/>
  <c r="R62" i="25"/>
  <c r="AA171" i="25"/>
  <c r="AC130" i="25"/>
  <c r="AA92" i="25"/>
  <c r="AE97" i="25"/>
  <c r="AA63" i="25"/>
  <c r="R203" i="25"/>
  <c r="R124" i="25"/>
  <c r="R133" i="25"/>
  <c r="R52" i="25"/>
  <c r="AC171" i="25"/>
  <c r="AC127" i="25"/>
  <c r="AA85" i="25"/>
  <c r="AG92" i="25"/>
  <c r="AG97" i="25"/>
  <c r="AA61" i="25"/>
  <c r="R129" i="25"/>
  <c r="R63" i="25"/>
  <c r="R200" i="25"/>
  <c r="AC244" i="25"/>
  <c r="Y135" i="25"/>
  <c r="AE244" i="25"/>
  <c r="AG246" i="25"/>
  <c r="AA202" i="25"/>
  <c r="AE206" i="25"/>
  <c r="AA159" i="25"/>
  <c r="AG130" i="25"/>
  <c r="AC85" i="25"/>
  <c r="Y93" i="25"/>
  <c r="AA98" i="25"/>
  <c r="R199" i="25"/>
  <c r="R209" i="25"/>
  <c r="R125" i="25"/>
  <c r="R53" i="25"/>
  <c r="AA86" i="25"/>
  <c r="AG89" i="25"/>
  <c r="AE89" i="25"/>
  <c r="AA89" i="25"/>
  <c r="AG90" i="25"/>
  <c r="AC90" i="25"/>
  <c r="Y90" i="25"/>
  <c r="AC89" i="25"/>
  <c r="AE90" i="25"/>
  <c r="AA90" i="25"/>
  <c r="Y89" i="25"/>
  <c r="AG219" i="25"/>
  <c r="AA222" i="25"/>
  <c r="AE224" i="25"/>
  <c r="Y227" i="25"/>
  <c r="AC229" i="25"/>
  <c r="AG231" i="25"/>
  <c r="Y144" i="25"/>
  <c r="AC146" i="25"/>
  <c r="AG148" i="25"/>
  <c r="AA151" i="25"/>
  <c r="AE153" i="25"/>
  <c r="Y156" i="25"/>
  <c r="AC158" i="25"/>
  <c r="AG109" i="25"/>
  <c r="Y111" i="25"/>
  <c r="AA112" i="25"/>
  <c r="AC113" i="25"/>
  <c r="AE114" i="25"/>
  <c r="AG115" i="25"/>
  <c r="Y117" i="25"/>
  <c r="AA118" i="25"/>
  <c r="AC119" i="25"/>
  <c r="AE120" i="25"/>
  <c r="AG121" i="25"/>
  <c r="Y123" i="25"/>
  <c r="AE70" i="25"/>
  <c r="Y73" i="25"/>
  <c r="AC75" i="25"/>
  <c r="AG77" i="25"/>
  <c r="AA80" i="25"/>
  <c r="AE82" i="25"/>
  <c r="R188" i="25"/>
  <c r="R114" i="25"/>
  <c r="R40" i="25"/>
  <c r="R115" i="25"/>
  <c r="R41" i="25"/>
  <c r="R118" i="25"/>
  <c r="R44" i="25"/>
  <c r="AG185" i="25"/>
  <c r="Y80" i="25"/>
  <c r="AA43" i="25"/>
  <c r="Y220" i="25"/>
  <c r="AC222" i="25"/>
  <c r="AG224" i="25"/>
  <c r="AA227" i="25"/>
  <c r="AE229" i="25"/>
  <c r="Y232" i="25"/>
  <c r="AE183" i="25"/>
  <c r="AG184" i="25"/>
  <c r="Y186" i="25"/>
  <c r="AA187" i="25"/>
  <c r="AC188" i="25"/>
  <c r="AE189" i="25"/>
  <c r="AG190" i="25"/>
  <c r="Y192" i="25"/>
  <c r="AA193" i="25"/>
  <c r="AC194" i="25"/>
  <c r="AE195" i="25"/>
  <c r="AG196" i="25"/>
  <c r="AA144" i="25"/>
  <c r="AE146" i="25"/>
  <c r="Y149" i="25"/>
  <c r="AC151" i="25"/>
  <c r="AG153" i="25"/>
  <c r="AA156" i="25"/>
  <c r="AE158" i="25"/>
  <c r="AG70" i="25"/>
  <c r="AA73" i="25"/>
  <c r="AE75" i="25"/>
  <c r="Y78" i="25"/>
  <c r="AC80" i="25"/>
  <c r="AG82" i="25"/>
  <c r="Y35" i="25"/>
  <c r="AA36" i="25"/>
  <c r="AC37" i="25"/>
  <c r="AE38" i="25"/>
  <c r="AG39" i="25"/>
  <c r="Y41" i="25"/>
  <c r="AA42" i="25"/>
  <c r="AC43" i="25"/>
  <c r="AE44" i="25"/>
  <c r="AG45" i="25"/>
  <c r="Y47" i="25"/>
  <c r="AA48" i="25"/>
  <c r="AC49" i="25"/>
  <c r="R189" i="25"/>
  <c r="Y193" i="25"/>
  <c r="AG40" i="25"/>
  <c r="AA220" i="25"/>
  <c r="AE222" i="25"/>
  <c r="Y225" i="25"/>
  <c r="AC227" i="25"/>
  <c r="AG229" i="25"/>
  <c r="AA232" i="25"/>
  <c r="AC144" i="25"/>
  <c r="AG146" i="25"/>
  <c r="AA149" i="25"/>
  <c r="AE151" i="25"/>
  <c r="Y154" i="25"/>
  <c r="AC156" i="25"/>
  <c r="AG158" i="25"/>
  <c r="Y110" i="25"/>
  <c r="AA111" i="25"/>
  <c r="AC112" i="25"/>
  <c r="AE113" i="25"/>
  <c r="AG114" i="25"/>
  <c r="Y116" i="25"/>
  <c r="AA117" i="25"/>
  <c r="AC118" i="25"/>
  <c r="AE119" i="25"/>
  <c r="AG120" i="25"/>
  <c r="Y122" i="25"/>
  <c r="AA123" i="25"/>
  <c r="Y71" i="25"/>
  <c r="AC73" i="25"/>
  <c r="AG75" i="25"/>
  <c r="AA78" i="25"/>
  <c r="AE80" i="25"/>
  <c r="Y83" i="25"/>
  <c r="R190" i="25"/>
  <c r="R116" i="25"/>
  <c r="R42" i="25"/>
  <c r="AG44" i="25"/>
  <c r="AE49" i="25"/>
  <c r="R191" i="25"/>
  <c r="R117" i="25"/>
  <c r="R43" i="25"/>
  <c r="R192" i="25"/>
  <c r="AC183" i="25"/>
  <c r="AC82" i="25"/>
  <c r="AC44" i="25"/>
  <c r="Y218" i="25"/>
  <c r="AC220" i="25"/>
  <c r="AG222" i="25"/>
  <c r="AA225" i="25"/>
  <c r="AE227" i="25"/>
  <c r="Y230" i="25"/>
  <c r="AC232" i="25"/>
  <c r="AG183" i="25"/>
  <c r="Y185" i="25"/>
  <c r="AA186" i="25"/>
  <c r="AC187" i="25"/>
  <c r="AE188" i="25"/>
  <c r="AG189" i="25"/>
  <c r="Y191" i="25"/>
  <c r="AA192" i="25"/>
  <c r="AC193" i="25"/>
  <c r="AE194" i="25"/>
  <c r="AG195" i="25"/>
  <c r="Y197" i="25"/>
  <c r="AE144" i="25"/>
  <c r="Y147" i="25"/>
  <c r="AC149" i="25"/>
  <c r="AG151" i="25"/>
  <c r="AA154" i="25"/>
  <c r="AE156" i="25"/>
  <c r="AA71" i="25"/>
  <c r="AE73" i="25"/>
  <c r="Y76" i="25"/>
  <c r="AC78" i="25"/>
  <c r="AG80" i="25"/>
  <c r="AA83" i="25"/>
  <c r="AA35" i="25"/>
  <c r="AC36" i="25"/>
  <c r="AE37" i="25"/>
  <c r="AG38" i="25"/>
  <c r="Y40" i="25"/>
  <c r="AA41" i="25"/>
  <c r="AC42" i="25"/>
  <c r="AE43" i="25"/>
  <c r="Y46" i="25"/>
  <c r="AA47" i="25"/>
  <c r="AC48" i="25"/>
  <c r="AE184" i="25"/>
  <c r="AA75" i="25"/>
  <c r="R187" i="25"/>
  <c r="AA218" i="25"/>
  <c r="AE220" i="25"/>
  <c r="Y223" i="25"/>
  <c r="AC225" i="25"/>
  <c r="AG227" i="25"/>
  <c r="AA230" i="25"/>
  <c r="AE232" i="25"/>
  <c r="AG144" i="25"/>
  <c r="AA147" i="25"/>
  <c r="AE149" i="25"/>
  <c r="Y152" i="25"/>
  <c r="AC154" i="25"/>
  <c r="AG156" i="25"/>
  <c r="Y109" i="25"/>
  <c r="AA110" i="25"/>
  <c r="AC111" i="25"/>
  <c r="AE112" i="25"/>
  <c r="AG113" i="25"/>
  <c r="Y115" i="25"/>
  <c r="AA116" i="25"/>
  <c r="AC117" i="25"/>
  <c r="AE118" i="25"/>
  <c r="AG119" i="25"/>
  <c r="Y121" i="25"/>
  <c r="AA122" i="25"/>
  <c r="AC123" i="25"/>
  <c r="AC71" i="25"/>
  <c r="AG73" i="25"/>
  <c r="AA76" i="25"/>
  <c r="AE78" i="25"/>
  <c r="Y81" i="25"/>
  <c r="AC83" i="25"/>
  <c r="Y187" i="25"/>
  <c r="AE39" i="25"/>
  <c r="AC218" i="25"/>
  <c r="AG220" i="25"/>
  <c r="AA223" i="25"/>
  <c r="AE225" i="25"/>
  <c r="Y228" i="25"/>
  <c r="AC230" i="25"/>
  <c r="AG232" i="25"/>
  <c r="Y184" i="25"/>
  <c r="AA185" i="25"/>
  <c r="AC186" i="25"/>
  <c r="AE187" i="25"/>
  <c r="AG188" i="25"/>
  <c r="Y190" i="25"/>
  <c r="AA191" i="25"/>
  <c r="AC192" i="25"/>
  <c r="AE193" i="25"/>
  <c r="AG194" i="25"/>
  <c r="Y196" i="25"/>
  <c r="AA197" i="25"/>
  <c r="Y145" i="25"/>
  <c r="AC147" i="25"/>
  <c r="AG149" i="25"/>
  <c r="AA152" i="25"/>
  <c r="AE154" i="25"/>
  <c r="Y157" i="25"/>
  <c r="AE71" i="25"/>
  <c r="Y74" i="25"/>
  <c r="AC76" i="25"/>
  <c r="AG78" i="25"/>
  <c r="AA81" i="25"/>
  <c r="AE83" i="25"/>
  <c r="AC35" i="25"/>
  <c r="AE36" i="25"/>
  <c r="AG37" i="25"/>
  <c r="Y39" i="25"/>
  <c r="AA40" i="25"/>
  <c r="AC41" i="25"/>
  <c r="AE42" i="25"/>
  <c r="AG43" i="25"/>
  <c r="Y45" i="25"/>
  <c r="AA46" i="25"/>
  <c r="AC47" i="25"/>
  <c r="AE48" i="25"/>
  <c r="AG49" i="25"/>
  <c r="R193" i="25"/>
  <c r="R119" i="25"/>
  <c r="R45" i="25"/>
  <c r="R47" i="25"/>
  <c r="R111" i="25"/>
  <c r="AG226" i="25"/>
  <c r="AA188" i="25"/>
  <c r="AE190" i="25"/>
  <c r="AC195" i="25"/>
  <c r="AE196" i="25"/>
  <c r="AA146" i="25"/>
  <c r="Y151" i="25"/>
  <c r="AG155" i="25"/>
  <c r="AG72" i="25"/>
  <c r="AG84" i="25"/>
  <c r="AA37" i="25"/>
  <c r="Y48" i="25"/>
  <c r="AE218" i="25"/>
  <c r="Y221" i="25"/>
  <c r="AC223" i="25"/>
  <c r="AG225" i="25"/>
  <c r="AA228" i="25"/>
  <c r="AE230" i="25"/>
  <c r="AA145" i="25"/>
  <c r="AE147" i="25"/>
  <c r="Y150" i="25"/>
  <c r="AC152" i="25"/>
  <c r="AG154" i="25"/>
  <c r="AA157" i="25"/>
  <c r="AA109" i="25"/>
  <c r="AC110" i="25"/>
  <c r="AE111" i="25"/>
  <c r="AG112" i="25"/>
  <c r="Y114" i="25"/>
  <c r="AA115" i="25"/>
  <c r="AC116" i="25"/>
  <c r="AE117" i="25"/>
  <c r="AG118" i="25"/>
  <c r="Y120" i="25"/>
  <c r="AA121" i="25"/>
  <c r="AC122" i="25"/>
  <c r="AE123" i="25"/>
  <c r="AG71" i="25"/>
  <c r="AA74" i="25"/>
  <c r="AE76" i="25"/>
  <c r="Y79" i="25"/>
  <c r="AC81" i="25"/>
  <c r="AG83" i="25"/>
  <c r="R194" i="25"/>
  <c r="R120" i="25"/>
  <c r="R46" i="25"/>
  <c r="R183" i="25"/>
  <c r="R109" i="25"/>
  <c r="R121" i="25"/>
  <c r="R35" i="25"/>
  <c r="R37" i="25"/>
  <c r="Y222" i="25"/>
  <c r="Y42" i="25"/>
  <c r="R113" i="25"/>
  <c r="AG218" i="25"/>
  <c r="AA221" i="25"/>
  <c r="AE223" i="25"/>
  <c r="Y226" i="25"/>
  <c r="AC228" i="25"/>
  <c r="AG230" i="25"/>
  <c r="Y183" i="25"/>
  <c r="AA184" i="25"/>
  <c r="AC185" i="25"/>
  <c r="AE186" i="25"/>
  <c r="AG187" i="25"/>
  <c r="Y189" i="25"/>
  <c r="AA190" i="25"/>
  <c r="AC191" i="25"/>
  <c r="AE192" i="25"/>
  <c r="AG193" i="25"/>
  <c r="Y195" i="25"/>
  <c r="AA196" i="25"/>
  <c r="AC197" i="25"/>
  <c r="AC145" i="25"/>
  <c r="AG147" i="25"/>
  <c r="AA150" i="25"/>
  <c r="AE152" i="25"/>
  <c r="Y155" i="25"/>
  <c r="AC157" i="25"/>
  <c r="Y72" i="25"/>
  <c r="AC74" i="25"/>
  <c r="AG76" i="25"/>
  <c r="AA79" i="25"/>
  <c r="AE81" i="25"/>
  <c r="Y84" i="25"/>
  <c r="AE35" i="25"/>
  <c r="AG36" i="25"/>
  <c r="Y38" i="25"/>
  <c r="AA39" i="25"/>
  <c r="AC40" i="25"/>
  <c r="AE41" i="25"/>
  <c r="AG42" i="25"/>
  <c r="Y44" i="25"/>
  <c r="AA45" i="25"/>
  <c r="AC46" i="25"/>
  <c r="AE47" i="25"/>
  <c r="AG48" i="25"/>
  <c r="R195" i="25"/>
  <c r="AA229" i="25"/>
  <c r="Y219" i="25"/>
  <c r="AC221" i="25"/>
  <c r="AG223" i="25"/>
  <c r="AA226" i="25"/>
  <c r="AE228" i="25"/>
  <c r="Y231" i="25"/>
  <c r="AE145" i="25"/>
  <c r="Y148" i="25"/>
  <c r="AC150" i="25"/>
  <c r="AG152" i="25"/>
  <c r="AA155" i="25"/>
  <c r="AE157" i="25"/>
  <c r="AC109" i="25"/>
  <c r="AE110" i="25"/>
  <c r="AG111" i="25"/>
  <c r="Y113" i="25"/>
  <c r="AA114" i="25"/>
  <c r="AC115" i="25"/>
  <c r="AE116" i="25"/>
  <c r="AG117" i="25"/>
  <c r="Y119" i="25"/>
  <c r="AA120" i="25"/>
  <c r="AC121" i="25"/>
  <c r="AE122" i="25"/>
  <c r="AG123" i="25"/>
  <c r="AA72" i="25"/>
  <c r="AE74" i="25"/>
  <c r="Y77" i="25"/>
  <c r="AC79" i="25"/>
  <c r="AG81" i="25"/>
  <c r="AA84" i="25"/>
  <c r="R184" i="25"/>
  <c r="R196" i="25"/>
  <c r="R110" i="25"/>
  <c r="R122" i="25"/>
  <c r="R36" i="25"/>
  <c r="R48" i="25"/>
  <c r="AA44" i="25"/>
  <c r="Y49" i="25"/>
  <c r="R185" i="25"/>
  <c r="R197" i="25"/>
  <c r="R123" i="25"/>
  <c r="R49" i="25"/>
  <c r="AC224" i="25"/>
  <c r="AG46" i="25"/>
  <c r="AA219" i="25"/>
  <c r="AE221" i="25"/>
  <c r="Y224" i="25"/>
  <c r="AC226" i="25"/>
  <c r="AG228" i="25"/>
  <c r="AA231" i="25"/>
  <c r="AA183" i="25"/>
  <c r="AC184" i="25"/>
  <c r="AE185" i="25"/>
  <c r="AG186" i="25"/>
  <c r="Y188" i="25"/>
  <c r="AA189" i="25"/>
  <c r="AC190" i="25"/>
  <c r="AE191" i="25"/>
  <c r="AG192" i="25"/>
  <c r="Y194" i="25"/>
  <c r="AA195" i="25"/>
  <c r="AC196" i="25"/>
  <c r="AE197" i="25"/>
  <c r="AG145" i="25"/>
  <c r="AA148" i="25"/>
  <c r="AE150" i="25"/>
  <c r="Y153" i="25"/>
  <c r="AC155" i="25"/>
  <c r="AG157" i="25"/>
  <c r="Y70" i="25"/>
  <c r="AC72" i="25"/>
  <c r="AG74" i="25"/>
  <c r="AA77" i="25"/>
  <c r="AE79" i="25"/>
  <c r="Y82" i="25"/>
  <c r="AC84" i="25"/>
  <c r="AG35" i="25"/>
  <c r="Y37" i="25"/>
  <c r="AA38" i="25"/>
  <c r="AC39" i="25"/>
  <c r="AE40" i="25"/>
  <c r="AG41" i="25"/>
  <c r="Y43" i="25"/>
  <c r="AC45" i="25"/>
  <c r="AE46" i="25"/>
  <c r="AG47" i="25"/>
  <c r="AE231" i="25"/>
  <c r="AC70" i="25"/>
  <c r="AC219" i="25"/>
  <c r="AG221" i="25"/>
  <c r="AA224" i="25"/>
  <c r="AE226" i="25"/>
  <c r="Y229" i="25"/>
  <c r="AC231" i="25"/>
  <c r="Y146" i="25"/>
  <c r="AC148" i="25"/>
  <c r="AG150" i="25"/>
  <c r="AA153" i="25"/>
  <c r="AE155" i="25"/>
  <c r="Y158" i="25"/>
  <c r="AE109" i="25"/>
  <c r="AG110" i="25"/>
  <c r="Y112" i="25"/>
  <c r="AA113" i="25"/>
  <c r="AC114" i="25"/>
  <c r="AE115" i="25"/>
  <c r="AG116" i="25"/>
  <c r="Y118" i="25"/>
  <c r="AA119" i="25"/>
  <c r="AC120" i="25"/>
  <c r="AE121" i="25"/>
  <c r="AG122" i="25"/>
  <c r="AA70" i="25"/>
  <c r="AE72" i="25"/>
  <c r="Y75" i="25"/>
  <c r="AC77" i="25"/>
  <c r="AG79" i="25"/>
  <c r="AA82" i="25"/>
  <c r="AE84" i="25"/>
  <c r="R186" i="25"/>
  <c r="R112" i="25"/>
  <c r="R38" i="25"/>
  <c r="AE219" i="25"/>
  <c r="AC189" i="25"/>
  <c r="AG191" i="25"/>
  <c r="AA194" i="25"/>
  <c r="AG197" i="25"/>
  <c r="AE148" i="25"/>
  <c r="AC153" i="25"/>
  <c r="AA158" i="25"/>
  <c r="AE77" i="25"/>
  <c r="Y36" i="25"/>
  <c r="AC38" i="25"/>
  <c r="AE45" i="25"/>
  <c r="AA49" i="25"/>
  <c r="R39" i="25"/>
  <c r="I281" i="25"/>
  <c r="I287" i="25" s="1"/>
  <c r="Z251" i="25"/>
  <c r="X251" i="25"/>
  <c r="AD251" i="25"/>
  <c r="W250" i="25"/>
  <c r="W251" i="25" s="1"/>
  <c r="AF251" i="25"/>
  <c r="AG108" i="25"/>
  <c r="AE69" i="25"/>
  <c r="AG34" i="25"/>
  <c r="AA34" i="25"/>
  <c r="Y108" i="25"/>
  <c r="AE217" i="25"/>
  <c r="AE143" i="25"/>
  <c r="Y217" i="25"/>
  <c r="Y34" i="25"/>
  <c r="AG69" i="25"/>
  <c r="AE108" i="25"/>
  <c r="AC108" i="25"/>
  <c r="AA143" i="25"/>
  <c r="AG217" i="25"/>
  <c r="AC34" i="25"/>
  <c r="AG182" i="25"/>
  <c r="AC217" i="25"/>
  <c r="AC143" i="25"/>
  <c r="Y69" i="25"/>
  <c r="R108" i="25"/>
  <c r="AA69" i="25"/>
  <c r="Y182" i="25"/>
  <c r="AE182" i="25"/>
  <c r="AA182" i="25"/>
  <c r="AA217" i="25"/>
  <c r="R182" i="25"/>
  <c r="AE34" i="25"/>
  <c r="AC182" i="25"/>
  <c r="AC69" i="25"/>
  <c r="R34" i="25"/>
  <c r="AA108" i="25"/>
  <c r="AG143" i="25"/>
  <c r="Y143" i="25"/>
  <c r="AB251" i="25"/>
  <c r="R212" i="25" l="1"/>
  <c r="S212" i="25" s="1"/>
  <c r="Y251" i="25"/>
  <c r="AA251" i="25"/>
  <c r="O253" i="25"/>
  <c r="AG251" i="25"/>
  <c r="AE251" i="25"/>
  <c r="AC251" i="25"/>
  <c r="W257" i="25"/>
  <c r="W260" i="25" l="1"/>
  <c r="W263" i="25" s="1"/>
  <c r="W266" i="25" s="1"/>
  <c r="I282" i="25"/>
  <c r="K279" i="25"/>
  <c r="H282" i="25"/>
  <c r="O255" i="25"/>
  <c r="E263" i="25" s="1"/>
  <c r="H288" i="25"/>
  <c r="H290" i="25"/>
  <c r="H289" i="25"/>
  <c r="I290" i="25"/>
  <c r="I283" i="25"/>
  <c r="H283" i="25"/>
  <c r="I289" i="25"/>
  <c r="I288" i="25"/>
  <c r="H291" i="25" l="1"/>
  <c r="H292" i="25" s="1"/>
  <c r="I284" i="25"/>
  <c r="I285" i="25" s="1"/>
  <c r="E256" i="25"/>
  <c r="O258" i="25" s="1"/>
  <c r="E287" i="25"/>
  <c r="E281" i="25"/>
  <c r="W282" i="25" s="1"/>
  <c r="I291" i="25"/>
  <c r="I292" i="25" s="1"/>
  <c r="H284" i="25"/>
  <c r="H285" i="25" s="1"/>
  <c r="O260" i="25" l="1"/>
  <c r="F281" i="25" s="1"/>
  <c r="H294" i="25"/>
  <c r="B298" i="25" s="1"/>
  <c r="F287" i="25" l="1"/>
  <c r="E296" i="25"/>
  <c r="O249" i="25"/>
  <c r="B300" i="25" s="1"/>
  <c r="B30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RIPA</author>
  </authors>
  <commentList>
    <comment ref="B34" authorId="0" shapeId="0" xr:uid="{F1016C08-0B09-4A17-8329-949DDF19ABF4}">
      <text>
        <r>
          <rPr>
            <b/>
            <sz val="12"/>
            <color indexed="81"/>
            <rFont val="Tahoma"/>
            <family val="2"/>
            <charset val="238"/>
          </rPr>
          <t xml:space="preserve">
PRÁVNÍ FORMY PODLÉHAJÍCÍ KRITÉRIU "A":</t>
        </r>
        <r>
          <rPr>
            <b/>
            <sz val="11"/>
            <color indexed="81"/>
            <rFont val="Tahoma"/>
            <family val="2"/>
            <charset val="238"/>
          </rPr>
          <t xml:space="preserve">
</t>
        </r>
        <r>
          <rPr>
            <sz val="9"/>
            <color indexed="81"/>
            <rFont val="Tahoma"/>
            <charset val="1"/>
          </rPr>
          <t xml:space="preserve">
</t>
        </r>
        <r>
          <rPr>
            <sz val="10"/>
            <color indexed="81"/>
            <rFont val="Tahoma"/>
            <family val="2"/>
            <charset val="238"/>
          </rPr>
          <t xml:space="preserve">- Společnosti s ručením omezeným;
- Akciové společnosti;
- Evropské společnosti;
- Družstva;
- Evropské družstevní společnosti;
- Státní podniky (dle zákona č. 77/1997 Sb. ve znění pozdějších předpisů);
- Nadace a nadační fondy (pokud mají minimální kapitálový požadavek, nebo omezené ručení společníků či osob v podobném postavení);
- Komanditní společnosti (pakliže je vkladová povinnost komanditistů plněna v penězích, tzn. společnost tvoří základní kapitál);
- Veřejné obchodní společnosti (pakliže se společníci ve společenské smlouvě zavázali ke vkladové povinnosti, tzn. společnost tvoří základní kapitál);
</t>
        </r>
        <r>
          <rPr>
            <i/>
            <sz val="10"/>
            <color indexed="81"/>
            <rFont val="Tahoma"/>
            <family val="2"/>
            <charset val="238"/>
          </rPr>
          <t>- A další právní formy se základním kapitálem a s omezenou formou ručení společníků nebo osob v podobném postavení.</t>
        </r>
        <r>
          <rPr>
            <sz val="9"/>
            <color indexed="81"/>
            <rFont val="Tahoma"/>
            <charset val="1"/>
          </rPr>
          <t xml:space="preserve">
</t>
        </r>
      </text>
    </comment>
    <comment ref="B108" authorId="0" shapeId="0" xr:uid="{C7BB5D89-95F7-4D17-AE00-8418CA9139FE}">
      <text>
        <r>
          <rPr>
            <b/>
            <sz val="11"/>
            <color indexed="81"/>
            <rFont val="Tahoma"/>
            <family val="2"/>
            <charset val="238"/>
          </rPr>
          <t xml:space="preserve">
</t>
        </r>
        <r>
          <rPr>
            <b/>
            <sz val="12"/>
            <color indexed="81"/>
            <rFont val="Tahoma"/>
            <family val="2"/>
            <charset val="238"/>
          </rPr>
          <t>PRÁVNÍ FORMY PODLÉHAJÍCÍ KRITÉRIU "B":</t>
        </r>
        <r>
          <rPr>
            <sz val="9"/>
            <color indexed="81"/>
            <rFont val="Tahoma"/>
            <family val="2"/>
            <charset val="238"/>
          </rPr>
          <t xml:space="preserve">
</t>
        </r>
        <r>
          <rPr>
            <sz val="10"/>
            <color indexed="81"/>
            <rFont val="Tahoma"/>
            <family val="2"/>
            <charset val="238"/>
          </rPr>
          <t xml:space="preserve">
- Evropské hospodářské zájmové sdružení;
- Komanditní společnosti (pakliže vkladová povinnost komanditistů není plněna v penězích, tzn. společnost netvoří základní kapitál);
- Veřejné obchodní společnosti (pakliže se společníci ve společenské smlouvě nezavázali ke vkladové povinnosti, tzn. společnost netvoří základní kapitál);
- OSVČ vedoucí účetnictví;
- OSVČ vedoucí daňovou evidenci (pakliže je skupina vyhodnocena jako velký podnik, nebo byla velikost skupiny označena "Nevím". V ostatních případech (tzn. pokud byla skupina hodnocena Přílohou MSP a velikost podnikatele je průkazně MSP) OSVČ s daňovou evidencí nepodstoupí test dle písmene „A“ a ani dle písmene „B“. V tomto případě bude OSVČ s daňovou evidencí uvedena v poslední tabulce);
</t>
        </r>
        <r>
          <rPr>
            <i/>
            <sz val="10"/>
            <color indexed="81"/>
            <rFont val="Tahoma"/>
            <family val="2"/>
            <charset val="238"/>
          </rPr>
          <t xml:space="preserve">
</t>
        </r>
        <r>
          <rPr>
            <i/>
            <sz val="11"/>
            <color indexed="81"/>
            <rFont val="Tahoma"/>
            <family val="2"/>
            <charset val="238"/>
          </rPr>
          <t xml:space="preserve">- A další právní formy bez základního kapitálu (kdy zákon neukládá členům/společníkům nebo osobám v podobném postavení vkladovou povinnost) a ve kterých některý člen/společník nebo osoba v podobném postavení ručí plně za závazky podniku). </t>
        </r>
        <r>
          <rPr>
            <sz val="9"/>
            <color indexed="81"/>
            <rFont val="Tahoma"/>
            <family val="2"/>
            <charset val="238"/>
          </rPr>
          <t xml:space="preserve">
</t>
        </r>
      </text>
    </comment>
    <comment ref="B182" authorId="0" shapeId="0" xr:uid="{36CE457D-022F-4306-9AD4-6B5E73451DCA}">
      <text>
        <r>
          <rPr>
            <b/>
            <sz val="9"/>
            <color indexed="81"/>
            <rFont val="Tahoma"/>
            <charset val="1"/>
          </rPr>
          <t xml:space="preserve">
</t>
        </r>
        <r>
          <rPr>
            <b/>
            <sz val="12"/>
            <color indexed="81"/>
            <rFont val="Tahoma"/>
            <family val="2"/>
            <charset val="238"/>
          </rPr>
          <t>PRÁVNÍ FORMY NEPODLÉHAJÍCÍ KRITÉRIU "A" ANI KRITÉRIU "B":</t>
        </r>
        <r>
          <rPr>
            <b/>
            <sz val="9"/>
            <color indexed="81"/>
            <rFont val="Tahoma"/>
            <charset val="1"/>
          </rPr>
          <t xml:space="preserve">
</t>
        </r>
        <r>
          <rPr>
            <b/>
            <sz val="10"/>
            <color indexed="81"/>
            <rFont val="Tahoma"/>
            <family val="2"/>
            <charset val="238"/>
          </rPr>
          <t xml:space="preserve">
- </t>
        </r>
        <r>
          <rPr>
            <sz val="10"/>
            <color indexed="81"/>
            <rFont val="Tahoma"/>
            <family val="2"/>
            <charset val="238"/>
          </rPr>
          <t xml:space="preserve">OSVČ s daňovou evidencí (pakliže byla skupina průkazně hodnocena pomocí Přílohy MSP, kdy velikost podnikatele je MSP - mikro, malý nebo střední podnik). V případěch, kdy je velikost skupiny označena příznakem "Nevím", nebo je velikost podnikatele "velký", tato OSVČ s daňovou evidencí podstoupí test dle kritéria "B";
- OSVČ přihlášená k paušální dani;
- OSVČ přihlášená k paušálním výdajům;
- Spolky;
</t>
        </r>
        <r>
          <rPr>
            <i/>
            <sz val="10"/>
            <color indexed="81"/>
            <rFont val="Tahoma"/>
            <family val="2"/>
            <charset val="238"/>
          </rPr>
          <t xml:space="preserve">A další právní formy:
- Podniky (právnícké osoby), které vedou účetnictví, a nemají základní kapitál ani minimální kapitálový požadavek (a ani jeden ze společníků/členů neručí plně za závazky);
- Podniky, které vedou jednoduché účetnictví, nebo daňovou evidenci, a ani jeden ze společníků neručí plně za závazky podniku (bez ohledu na ZK nebo minimální kapitálový požadavek). 
</t>
        </r>
      </text>
    </comment>
  </commentList>
</comments>
</file>

<file path=xl/sharedStrings.xml><?xml version="1.0" encoding="utf-8"?>
<sst xmlns="http://schemas.openxmlformats.org/spreadsheetml/2006/main" count="1681" uniqueCount="538">
  <si>
    <t>se sídlem</t>
  </si>
  <si>
    <t>IČO</t>
  </si>
  <si>
    <t>Ano</t>
  </si>
  <si>
    <t>Ne</t>
  </si>
  <si>
    <t>vlastní kapitál</t>
  </si>
  <si>
    <t>A.</t>
  </si>
  <si>
    <t>základní kapitál</t>
  </si>
  <si>
    <t>A.I</t>
  </si>
  <si>
    <t>A.II</t>
  </si>
  <si>
    <t>A.II.1</t>
  </si>
  <si>
    <t>Výsledek hospodaření minulých let</t>
  </si>
  <si>
    <t>A.IV</t>
  </si>
  <si>
    <t>Výsledek hospodaření běžného účetního období</t>
  </si>
  <si>
    <t>A.V</t>
  </si>
  <si>
    <t>Je kritérium A splněno?</t>
  </si>
  <si>
    <t>Vlastní kapitál</t>
  </si>
  <si>
    <t>Výsledek hospodaření celkem</t>
  </si>
  <si>
    <t>Je kritérium B splněno?</t>
  </si>
  <si>
    <t>Bylo zahájeno vůči příjemci kolektivní úpadkové řízení?</t>
  </si>
  <si>
    <t>Je kritérium C splněno?</t>
  </si>
  <si>
    <t>Je kritérium D splněno?</t>
  </si>
  <si>
    <t>B+C</t>
  </si>
  <si>
    <t>Je poměr dluhu k vlastnímu kapitálu vyšší než 7,5?</t>
  </si>
  <si>
    <t>Odpisy</t>
  </si>
  <si>
    <t>E.1</t>
  </si>
  <si>
    <t>Nákladové úroky</t>
  </si>
  <si>
    <t>J</t>
  </si>
  <si>
    <t>Výsledek hospodaření před zdaněním</t>
  </si>
  <si>
    <t>**</t>
  </si>
  <si>
    <t>Je kritérium E splněno?</t>
  </si>
  <si>
    <t>Základní kapitál</t>
  </si>
  <si>
    <t>způsob vedení účetnictví</t>
  </si>
  <si>
    <t>dle vyhlášky č. 500/2002 Sb.</t>
  </si>
  <si>
    <t>dle vyhlášky č. 504/2002 Sb.</t>
  </si>
  <si>
    <t>(nepodnikatelské subjekty)</t>
  </si>
  <si>
    <t>dle vyhlášky č. 410/2009 Sb.</t>
  </si>
  <si>
    <t>(OSS, ÚSC, PO, státní fondy)</t>
  </si>
  <si>
    <t>C.</t>
  </si>
  <si>
    <t>---</t>
  </si>
  <si>
    <t>výsledek hospodaření běžného účetního období</t>
  </si>
  <si>
    <t>výsledek hospodaření</t>
  </si>
  <si>
    <t>C.III</t>
  </si>
  <si>
    <t>modifikovaný vlastní kapitál</t>
  </si>
  <si>
    <t>odpisy</t>
  </si>
  <si>
    <t>výsledek hospodaření před zdaněním</t>
  </si>
  <si>
    <t>velikost podniků</t>
  </si>
  <si>
    <t>RELEVANTNÍ</t>
  </si>
  <si>
    <t>vzorec A/B</t>
  </si>
  <si>
    <t>zdroj informací</t>
  </si>
  <si>
    <t>Rozvaha</t>
  </si>
  <si>
    <t>VZaZ</t>
  </si>
  <si>
    <t>základní kapitál + ážio
 A.I + A.II.1</t>
  </si>
  <si>
    <t>A &lt; mod.vl.kap. / 2</t>
  </si>
  <si>
    <t>A.II &gt; mod.vl.kap. / 2
podmínka: výsl.hosp.celkem &lt; 0</t>
  </si>
  <si>
    <t>C.III &gt; mod.vl.kap. / 2
podmínka: výsl.hosp.celkem &lt; 0</t>
  </si>
  <si>
    <t>/(A.IV + A.V)/ &gt; mod.vl.kap. / 2
podmínka: (výsledek hosp. + výsl.hosp.běžného úč.období) &lt; 0</t>
  </si>
  <si>
    <t>odkaz</t>
  </si>
  <si>
    <t>D</t>
  </si>
  <si>
    <t>A.I.28</t>
  </si>
  <si>
    <t>A.II.2</t>
  </si>
  <si>
    <t>C.1</t>
  </si>
  <si>
    <t>Zdroj</t>
  </si>
  <si>
    <t>R</t>
  </si>
  <si>
    <t>Insolvenční rejstřík</t>
  </si>
  <si>
    <t>Číslo pol.</t>
  </si>
  <si>
    <t>Vlastní kapitál (vlastní zdroje)</t>
  </si>
  <si>
    <t>B.</t>
  </si>
  <si>
    <t>A.VI.23</t>
  </si>
  <si>
    <t>A.V.18</t>
  </si>
  <si>
    <t>žadatel</t>
  </si>
  <si>
    <t>D.</t>
  </si>
  <si>
    <t>Vyberte variantu</t>
  </si>
  <si>
    <t>Ážio</t>
  </si>
  <si>
    <t>Celkem</t>
  </si>
  <si>
    <t>I.</t>
  </si>
  <si>
    <t>II.</t>
  </si>
  <si>
    <t>malé a střední, velké</t>
  </si>
  <si>
    <t>ažio</t>
  </si>
  <si>
    <t>A.II.I</t>
  </si>
  <si>
    <t>Právní forma žadatele</t>
  </si>
  <si>
    <t>Název žadatele</t>
  </si>
  <si>
    <t>Výsledek hosp. běž.úč. období</t>
  </si>
  <si>
    <t>Výsledek hosp. před zdaněním</t>
  </si>
  <si>
    <t>Výsledek hosp. minulých let</t>
  </si>
  <si>
    <t>není relevantní</t>
  </si>
  <si>
    <t>dle vyhlášky č. 325/2015 Sb.</t>
  </si>
  <si>
    <t>Rozvaha / Přehled o majetku a závazcích</t>
  </si>
  <si>
    <t>VZaZ / Přehled o příjmech a výdajích</t>
  </si>
  <si>
    <t>Míra zadluženosti</t>
  </si>
  <si>
    <t>Ukazatel úrokového krytí</t>
  </si>
  <si>
    <r>
      <t xml:space="preserve">Relevantní kritéria </t>
    </r>
    <r>
      <rPr>
        <sz val="11"/>
        <color theme="1"/>
        <rFont val="Arial"/>
        <family val="2"/>
        <charset val="238"/>
      </rPr>
      <t>pro vyplnění</t>
    </r>
  </si>
  <si>
    <t>PMaZ</t>
  </si>
  <si>
    <t>PPaV</t>
  </si>
  <si>
    <t>A.10</t>
  </si>
  <si>
    <t>PMaZ_A.10 mínus PPaV_B.99</t>
  </si>
  <si>
    <t>PMaZ + PPaV</t>
  </si>
  <si>
    <t>B.99</t>
  </si>
  <si>
    <t>B.03</t>
  </si>
  <si>
    <t>Č. pol.</t>
  </si>
  <si>
    <t>Závazky</t>
  </si>
  <si>
    <t>E.1.1</t>
  </si>
  <si>
    <t>závazky</t>
  </si>
  <si>
    <t>C - kritérium posuzování úpadku/insolvence</t>
  </si>
  <si>
    <t>D - kritérium podpora na záchranu nebo restrukturalizaci</t>
  </si>
  <si>
    <t>E - kritérium plnění míry zadlužení a ukazatele úrokového krytí</t>
  </si>
  <si>
    <t>E1 - míra zadluženosti (poměr závazků k vlastnímu kapitálu)</t>
  </si>
  <si>
    <t>E2 - ukazatel úrokového krytí (poměr EBITDA/nákladové úroky)</t>
  </si>
  <si>
    <t>Je ukazatel úrokového krytí &lt; 1,0?</t>
  </si>
  <si>
    <t>Je žadatel o podporu podnikem v obtížích (je splněno některé z relevantních kritérií A až E)?</t>
  </si>
  <si>
    <t>doplňující údaj</t>
  </si>
  <si>
    <t>B - kritérium stavu vlastního kapitálu - společníci ručí za závazky</t>
  </si>
  <si>
    <t>A - kritérium stavu vlastního kapitálu - příjemci s ručením omezeným</t>
  </si>
  <si>
    <t>111 - Veřejná obchodní společnost</t>
  </si>
  <si>
    <t>112 - Společnost s ručením omezeným</t>
  </si>
  <si>
    <t>113 - Společnost komanditní</t>
  </si>
  <si>
    <t>121 - Akciová společnost monokratická</t>
  </si>
  <si>
    <t>141 - Obecně prospěšná společnost</t>
  </si>
  <si>
    <t>145 - Společenství vlastníků jednotek</t>
  </si>
  <si>
    <t>205 - Družstvo</t>
  </si>
  <si>
    <t>301 - Státní podnik</t>
  </si>
  <si>
    <t>302 - Národní podnik</t>
  </si>
  <si>
    <t>325 - Organizační složka státu</t>
  </si>
  <si>
    <t>331 - Příspěvková organizace zřízená USC</t>
  </si>
  <si>
    <t>332 - Státní příspěvková organizace</t>
  </si>
  <si>
    <t>353 - Rada pro veřejný dohled nad auditem</t>
  </si>
  <si>
    <t>361 - Veřejnoprávní instituce (ČT,ČRo,ČTK)</t>
  </si>
  <si>
    <t>362 - Česká tisková kancelář</t>
  </si>
  <si>
    <t>381 - Státní fond ze zákona</t>
  </si>
  <si>
    <t>421 - Odštěpný závod zahraniční PO</t>
  </si>
  <si>
    <t>423 - Organizační složka zahraniční nadace</t>
  </si>
  <si>
    <t>424 - Zahraniční fyzická osoba</t>
  </si>
  <si>
    <t>601 - Vysoká škola (veřejná, státní)</t>
  </si>
  <si>
    <t>641 - Školská právnická osoba</t>
  </si>
  <si>
    <t>661 - Veřejná výzkumná instituce</t>
  </si>
  <si>
    <t>706 - Spolek</t>
  </si>
  <si>
    <t>707 - Odborová organizace</t>
  </si>
  <si>
    <t>708 - Organizace zaměstnavatelů</t>
  </si>
  <si>
    <t>711 - Politická strana, politické hnutí</t>
  </si>
  <si>
    <t>722 - Evidované církevní právnické osoby</t>
  </si>
  <si>
    <t>723 - Svazy církví a náboženských společností</t>
  </si>
  <si>
    <t>751 - Zájmové sdružení právnických osob</t>
  </si>
  <si>
    <t>761 - Honební společenstvo</t>
  </si>
  <si>
    <t>771 - Svazek obcí</t>
  </si>
  <si>
    <t>801 - Obec nebo městská část hl. města Prahy</t>
  </si>
  <si>
    <t>804 - Kraj</t>
  </si>
  <si>
    <t>805 - Regionální rada regionu soudržnosti</t>
  </si>
  <si>
    <t>811 - Městská část, městský obvod</t>
  </si>
  <si>
    <t>906 - Zahraniční spolek</t>
  </si>
  <si>
    <t>907 - Mezinárodní odborová organizace</t>
  </si>
  <si>
    <t>908 - Mezinárodní organizace zaměstnavatelů</t>
  </si>
  <si>
    <t>921 - Mezinárodní organizace a sdružení</t>
  </si>
  <si>
    <t>931 - Evropské hospodářské zájmové sdružení</t>
  </si>
  <si>
    <t>932 - Evropská společnost</t>
  </si>
  <si>
    <t>933 - Evropská družstevní společnost</t>
  </si>
  <si>
    <t>941 - Evropské seskupení pro územní spolupr.</t>
  </si>
  <si>
    <t>R/PMaZ</t>
  </si>
  <si>
    <t>VZaZ/PPaV</t>
  </si>
  <si>
    <t>961 - Svěřenský fond</t>
  </si>
  <si>
    <t>962 - Zahraniční svěřenský fond</t>
  </si>
  <si>
    <t>960 - Právnická osoba zřízená zvláštním zákonem zapisovaná do veřejného rejstříku</t>
  </si>
  <si>
    <t>951 - Mezinárodní vojenská organizace vzniklá na základě mezinárodní smlouvy</t>
  </si>
  <si>
    <t>936 - Zahraniční pobočný spolek</t>
  </si>
  <si>
    <t>736 - Pobočný spolek</t>
  </si>
  <si>
    <t>501 - Odštěpný závod</t>
  </si>
  <si>
    <t>426 - Zastopuení zahraniční banky</t>
  </si>
  <si>
    <t>425 - Odštěpný závod zahraniční fyzické osoby</t>
  </si>
  <si>
    <t>392 - Všeobecná zdravotní pojišťovna</t>
  </si>
  <si>
    <t>391 - Zdravotní pojišťovna (mimo VZP)</t>
  </si>
  <si>
    <t>326 - Stálý rozhodčí soud</t>
  </si>
  <si>
    <t>313 - Česká národní banka</t>
  </si>
  <si>
    <t>161 - Ústav</t>
  </si>
  <si>
    <t>151 - Komoditní burza</t>
  </si>
  <si>
    <t>118 - Nadační fond</t>
  </si>
  <si>
    <t>117 - Nadace</t>
  </si>
  <si>
    <t>Výsledek hospodaření minulých let 
(kumulace ztrát vykazovaných za účetní období předcházející běžnému účetnímu období v případě, že nebyly ztráty vypořádány)</t>
  </si>
  <si>
    <t>Splňuje žadatel kritéria pro zahájení kolektivního úpadkového řízení?</t>
  </si>
  <si>
    <t>Obdržel žadatel podporu na restrukturalizaci a stále se na něj uplatňuje plán restrukturalizace?</t>
  </si>
  <si>
    <t>Vyberte právní formu</t>
  </si>
  <si>
    <r>
      <t xml:space="preserve">Podléhá skupina podniků, které je žadatel součastí konsolidaci?
</t>
    </r>
    <r>
      <rPr>
        <sz val="11"/>
        <rFont val="Arial"/>
        <family val="2"/>
        <charset val="238"/>
      </rPr>
      <t>(Pokud žadatel zvolí ANO, v části III. tohoto formuláře vyplní data z výkazů konsolidované účetní závěrky)</t>
    </r>
  </si>
  <si>
    <t>R/PPaV</t>
  </si>
  <si>
    <t>721 - Církve a náboženské společnosti</t>
  </si>
  <si>
    <t>745 - Komora (hospodářská, agrární)</t>
  </si>
  <si>
    <t>741 - Samostatná stavovská organizace (profesní komora)</t>
  </si>
  <si>
    <t>100 - Podnikající fyzická osoba tuzemská</t>
  </si>
  <si>
    <t>JINÉ</t>
  </si>
  <si>
    <t>Všechny právní formy</t>
  </si>
  <si>
    <t>Vyhláška 325</t>
  </si>
  <si>
    <t>Vyhláška 500</t>
  </si>
  <si>
    <t>Vyhláška 504</t>
  </si>
  <si>
    <t>Vyhláška 410</t>
  </si>
  <si>
    <t>922 - Organizační jednotka organizace s mezinárodním prvkem</t>
  </si>
  <si>
    <t>352 - Správa železniční dopravní cesty, státní organizace</t>
  </si>
  <si>
    <t>422 - Organizační složka zahraničního nadačního fondu</t>
  </si>
  <si>
    <t>521 - Samostatná drobná provozovna obecního úřadu</t>
  </si>
  <si>
    <t>525 - Vnitřní organizační jednotka organizační složky státu</t>
  </si>
  <si>
    <t>382 - Státní fond ze zákona bez zápisu do obchodního rejstříku</t>
  </si>
  <si>
    <t>704 - Zvláštní org. pro zastoupení českých zájmů v mezinár. nevlád. org.</t>
  </si>
  <si>
    <t>734 - Org. jednotka zvláštní org. pro zastoupení českých zájmů v mezinár. nevlád. org.</t>
  </si>
  <si>
    <t>152 - Garanč. fond obchodníků s cennými papíry</t>
  </si>
  <si>
    <t>Vyhláška 501, 502, 503</t>
  </si>
  <si>
    <t>dle vyhlášky č. 501/2002 Sb.</t>
  </si>
  <si>
    <t>dle vyhlášky č. 502/2002 Sb.</t>
  </si>
  <si>
    <t>dle vyhlášky č. 503/2002 Sb.</t>
  </si>
  <si>
    <t>(banky a finanční instituce)</t>
  </si>
  <si>
    <t>(pojišťovny)</t>
  </si>
  <si>
    <t>(zdravotní pojišťovny)</t>
  </si>
  <si>
    <t>R_PAS_A.I.</t>
  </si>
  <si>
    <t>R_PAS_8.</t>
  </si>
  <si>
    <t>R_PAS_8.+9.+10.+
12.+14.+15.</t>
  </si>
  <si>
    <t>R_PAS_A.</t>
  </si>
  <si>
    <t>R_PAS-8. mínus R_PAS_15.</t>
  </si>
  <si>
    <t>R_PAS-A. mínus R_PAS_A.VII.</t>
  </si>
  <si>
    <t>R_PAS_ 14.+15.</t>
  </si>
  <si>
    <t>R_PAS_ A.VI.plus A.VII.</t>
  </si>
  <si>
    <t>R_PAS_15.</t>
  </si>
  <si>
    <t>R_PAS_A.VII.</t>
  </si>
  <si>
    <t>R_PAS_G</t>
  </si>
  <si>
    <t>R_PAS_C</t>
  </si>
  <si>
    <t>VZZ_11.</t>
  </si>
  <si>
    <t>VZZ_III.5a)</t>
  </si>
  <si>
    <t>VZZ_II.3a)</t>
  </si>
  <si>
    <t>R_PAS_9.</t>
  </si>
  <si>
    <t>VZZ_19.</t>
  </si>
  <si>
    <t>VZZ_2.</t>
  </si>
  <si>
    <t>R_PAS_A.II.</t>
  </si>
  <si>
    <t>VZZ_III.16 minus (VZZ_III.14.+VZZ_III.15)</t>
  </si>
  <si>
    <t>R_PAS_1.+R_PAS_2.+R_PAS_3.+R_PAS_4.</t>
  </si>
  <si>
    <t>VZZ_8. mínus VZZ_7.</t>
  </si>
  <si>
    <t>VZZ_b).</t>
  </si>
  <si>
    <t>x</t>
  </si>
  <si>
    <t>A. *)</t>
  </si>
  <si>
    <t>C. *)</t>
  </si>
  <si>
    <t>A.II *)</t>
  </si>
  <si>
    <t>C.III *)</t>
  </si>
  <si>
    <t>A.II.1 *)</t>
  </si>
  <si>
    <t>C.III.1 *)</t>
  </si>
  <si>
    <t>Má žadatel základní kapitál nebo minimální kapitálový požadavek dle příslušných vnitrostátních právních předpisů?</t>
  </si>
  <si>
    <t xml:space="preserve">Jsou ve skupině podniky, které podléhají kritériu B (tj. některý ze společníků plně ručí za závazky a podnik má minimální kapitálový požadavek)?	</t>
  </si>
  <si>
    <t>Jsou ve skupině podniky, které podléhají kritériu A (tj. podnik má základní kapitál nebo minimální kapitálový požadavek a společníci mají omezené ručení)?</t>
  </si>
  <si>
    <t>*</t>
  </si>
  <si>
    <t>* nevytváří-li žadatel základní kapitál a ážio, ponechá se nevyplněné</t>
  </si>
  <si>
    <t xml:space="preserve">*) Kritérium A) se použije na právní formy podniků, ve kterých společníci/zřizovatelé ručí omezeně za závazky společnosti a které zároveň mají povinnost  základní kapitál, resp. mají příslušnými vnitrostátními právními předpisy stanovený minimální kapitálový požadavek. 
Kritérium B) se použije u těch právních forem podniků, kde společníci/zřizovatelé plně ručí, a tedy mají neomezenou odpovědnost za závazky podniku, a zároveň mají příslušnými vnitrostátními právními předpisy stanovený minimální kapitálový požadavek.
Z výše uvedeného vyplývá, že pokud podnik nemá základní kapitál nebo minimální kapitálový požadavek a ani není právní formou, kde společníci/zřizovatel plně ručí za závazky podniku, nebude takový žadatel posuzován ani na kritérium A) a ani na kritérium B).
</t>
  </si>
  <si>
    <t>vlastní kapitál - (výsledek hosp. + výsl.hosp.běžného úč.období)
A - (A.IV + A.V)</t>
  </si>
  <si>
    <t>vlastní kapitál - výsledek hosp. celkem
C - C.III *)</t>
  </si>
  <si>
    <t>vlastní kapitál - výsledek hosp. celkem
A - A.II *)</t>
  </si>
  <si>
    <t>Veřejný subjekt</t>
  </si>
  <si>
    <t>Datum vzniku (dd.mm.rrrr)</t>
  </si>
  <si>
    <t>Poslední uzavřený účetní rok žadatele</t>
  </si>
  <si>
    <t>Je žadatel součástí skupiny propojených podniků?</t>
  </si>
  <si>
    <t>Platné od 1.1.2024</t>
  </si>
  <si>
    <t>Tato část má pouze informační charakter.</t>
  </si>
  <si>
    <r>
      <t>KROK 3:</t>
    </r>
    <r>
      <rPr>
        <sz val="11"/>
        <color rgb="FFFF0000"/>
        <rFont val="Calibri"/>
        <family val="2"/>
        <charset val="238"/>
        <scheme val="minor"/>
      </rPr>
      <t xml:space="preserve"> Odpovězte na všechny otázky (tento krok nelze přeskočit).</t>
    </r>
  </si>
  <si>
    <r>
      <t>KROK 2:</t>
    </r>
    <r>
      <rPr>
        <sz val="11"/>
        <color rgb="FFFF0000"/>
        <rFont val="Calibri"/>
        <family val="2"/>
        <charset val="238"/>
        <scheme val="minor"/>
      </rPr>
      <t xml:space="preserve"> Vyplňte tuto identifikační část.</t>
    </r>
  </si>
  <si>
    <t>Je skupina jako celek malý, nebo střední podnik (MSP)?</t>
  </si>
  <si>
    <r>
      <t xml:space="preserve">KROK 4: </t>
    </r>
    <r>
      <rPr>
        <sz val="11"/>
        <color rgb="FFFF0000"/>
        <rFont val="Calibri"/>
        <family val="2"/>
        <charset val="238"/>
        <scheme val="minor"/>
      </rPr>
      <t>Vyplňte níže v tabulkách tato Relevantní kritéria (viz zobrazená písmena).</t>
    </r>
  </si>
  <si>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Oproti výše uvedeným, k.s. nebo v.o.s. nemá minimální kapitálový požadavek. </t>
    </r>
  </si>
  <si>
    <r>
      <t xml:space="preserve">Podnikatelská historie žadatele je </t>
    </r>
    <r>
      <rPr>
        <b/>
        <u/>
        <sz val="11"/>
        <rFont val="Arial"/>
        <family val="2"/>
        <charset val="238"/>
      </rPr>
      <t>kratší</t>
    </r>
    <r>
      <rPr>
        <b/>
        <sz val="11"/>
        <rFont val="Arial"/>
        <family val="2"/>
        <charset val="238"/>
      </rPr>
      <t xml:space="preserve"> než 3 roky od data podání žádosti?</t>
    </r>
  </si>
  <si>
    <t>odkaz na příslušnou vyhlášku</t>
  </si>
  <si>
    <r>
      <t xml:space="preserve">Ručí alespoň jeden ze společníků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Společníci v s.r.o. ručí pouze omezeně do výše ZK, v takovém případě bude odpověď "NE".
Obdobně tomu bude u družstva, a.s., SE, SCE a v dalších společnostech.
A např. společníci v k.s. nebo v.o.s. ručí celým svým jměním, v takovém případě bude odpověď "ANO".</t>
    </r>
  </si>
  <si>
    <r>
      <rPr>
        <b/>
        <sz val="11"/>
        <color rgb="FFFF0000"/>
        <rFont val="Calibri"/>
        <family val="2"/>
        <charset val="238"/>
        <scheme val="minor"/>
      </rPr>
      <t>KROK 5:</t>
    </r>
    <r>
      <rPr>
        <sz val="11"/>
        <color rgb="FFFF0000"/>
        <rFont val="Calibri"/>
        <family val="2"/>
        <charset val="238"/>
        <scheme val="minor"/>
      </rPr>
      <t xml:space="preserve"> Zde je výsledek testu pouze za žadatele.</t>
    </r>
  </si>
  <si>
    <t>Vyberte varinatu</t>
  </si>
  <si>
    <t>Uveďte údaje z konsolidované účetní závěrky, je-li k dispozici.</t>
  </si>
  <si>
    <t>Je žadatel za celou skupinu malý, nebo střední podnik (MSP)?</t>
  </si>
  <si>
    <r>
      <t xml:space="preserve">Ručí alespoň jeden ze společníků </t>
    </r>
    <r>
      <rPr>
        <b/>
        <u/>
        <sz val="11"/>
        <color theme="1"/>
        <rFont val="Arial"/>
        <family val="2"/>
        <charset val="238"/>
      </rPr>
      <t>plně</t>
    </r>
    <r>
      <rPr>
        <b/>
        <sz val="11"/>
        <color theme="1"/>
        <rFont val="Arial"/>
        <family val="2"/>
        <charset val="238"/>
      </rPr>
      <t xml:space="preserve"> za závazky žadatele?</t>
    </r>
  </si>
  <si>
    <t>Daňovka</t>
  </si>
  <si>
    <t>Podnikatel</t>
  </si>
  <si>
    <t xml:space="preserve">Nepodnikatel </t>
  </si>
  <si>
    <t>Název žadatele (automatické doplnění do skupiny):</t>
  </si>
  <si>
    <t>IČ žadatele (automatické doplnění do skupiny):</t>
  </si>
  <si>
    <t>Nepodnikatel</t>
  </si>
  <si>
    <t>Počet znaků</t>
  </si>
  <si>
    <t>Výsledek doplnění:</t>
  </si>
  <si>
    <t>Formulář pro posouzení podniku v obtížích - Žadatel</t>
  </si>
  <si>
    <t>Poslední uzavřený účetní rok (formát RRRR)</t>
  </si>
  <si>
    <t>Poslední uzavřený účetní rok žadatele (automatické doplnění do skupiny):</t>
  </si>
  <si>
    <t>Poslední uzavřený účetní rok</t>
  </si>
  <si>
    <t>Účetnictví, dle Vyhlášky č. 500/2002 Sb.</t>
  </si>
  <si>
    <t>Účetnictví, dle Vyhlášky č. 410/2009 Sb.</t>
  </si>
  <si>
    <t>Účetnictví, dle Vyhlášky č. 501/2002 Sb.</t>
  </si>
  <si>
    <t>Účetnictví, dle Vyhlášky č. 502/2002 Sb.</t>
  </si>
  <si>
    <t>Účetnictví, dle Vyhlášky č. 503/2002 Sb.</t>
  </si>
  <si>
    <t xml:space="preserve">Účetnictví, dle Vyhlášky č. 504/2002 Sb. </t>
  </si>
  <si>
    <t>Daňová evidence</t>
  </si>
  <si>
    <t>FOP - Paušální daň</t>
  </si>
  <si>
    <t>FOP - Paušální výdaje</t>
  </si>
  <si>
    <t>NIC</t>
  </si>
  <si>
    <t>A - kritérium stavu vlastního kapitálu příjemci s ručením omezeným (dle vyhlášky č. 501/2002 Sb.)</t>
  </si>
  <si>
    <t>B - kritérium stavu vlastního kapitálu - společníci ručí za závazky (dle vyhlášky č. 501/2002 Sb.)</t>
  </si>
  <si>
    <t>8.</t>
  </si>
  <si>
    <t>9.</t>
  </si>
  <si>
    <t>8.+9.+10.+12. +14.+15.</t>
  </si>
  <si>
    <t>14.</t>
  </si>
  <si>
    <t>15.</t>
  </si>
  <si>
    <t>R_PAS</t>
  </si>
  <si>
    <t>1.+2.+3.+4.</t>
  </si>
  <si>
    <t>11.</t>
  </si>
  <si>
    <t>2.</t>
  </si>
  <si>
    <t>19.</t>
  </si>
  <si>
    <t>A.I.</t>
  </si>
  <si>
    <t>A.II.</t>
  </si>
  <si>
    <t>VI.</t>
  </si>
  <si>
    <t>A.VII.</t>
  </si>
  <si>
    <t>G.</t>
  </si>
  <si>
    <t>III. 5a)</t>
  </si>
  <si>
    <t>III.16. mínus III.14. + III.15.</t>
  </si>
  <si>
    <t>A - kritérium stavu vlastního kapitálu příjemci s ručením omezeným (dle vyhlášky č. 502/2002 Sb.)</t>
  </si>
  <si>
    <t>B - kritérium stavu vlastního kapitálu - společníci ručí za závazky (dle vyhlášky č. 502/2002 Sb.)</t>
  </si>
  <si>
    <t>A.VI.</t>
  </si>
  <si>
    <t>b).</t>
  </si>
  <si>
    <t>II.3.a)</t>
  </si>
  <si>
    <t>8. mínus 7.</t>
  </si>
  <si>
    <t>A - kritérium stavu vlastního kapitálu příjemci s ručením omezeným (dle vyhlášky č. 500/2002 Sb.)</t>
  </si>
  <si>
    <t>B - kritérium stavu vlastního kapitálu - společníci ručí za závazky (dle vyhlášky č. 500/2002 Sb.)</t>
  </si>
  <si>
    <t>A - kritérium stavu vlastního kapitálu příjemci s ručením omezeným (dle vyhlášky č. 503/2002 Sb.)</t>
  </si>
  <si>
    <t>B - kritérium stavu vlastního kapitálu - společníci ručí za závazky (dle vyhlášky č. 503/2002 Sb.)</t>
  </si>
  <si>
    <t>Nevyplňovat - Nerelevantní pro účtování dle vyhlášky č. 410/2009 Sb.</t>
  </si>
  <si>
    <t>Nevyplňovat - Nerelevatní pro účtování dle vyhlášky č. 504/2002 Sb.</t>
  </si>
  <si>
    <t>B - kritérium stavu vlastního kapitálu - společníci ručí za závazky (dle vyhlášky č. 410/2009 Sb.)</t>
  </si>
  <si>
    <t>B - kritérium stavu vlastního kapitálu - společníci ručí za závazky (dle vyhlášky č. 504/2002 Sb.)</t>
  </si>
  <si>
    <t>A - kritérium stavu vlastního kapitálu - společníci neručí za závazky (dle vyhlášky č. 504/2002 Sb.)</t>
  </si>
  <si>
    <t>Podmíněné formátování</t>
  </si>
  <si>
    <t>První nápověda zde:</t>
  </si>
  <si>
    <t>Druhá nápověda zde:</t>
  </si>
  <si>
    <t>Bylo zahájeno vůči příjemci kolektivní úpadkové řízení?*</t>
  </si>
  <si>
    <t>Splňuje žadatel kritéria pro zahájení kolektivního úpadkového řízení?*</t>
  </si>
  <si>
    <t>* je-li úpadkové řízení vyloučeno ze zákona - vyberte variantu "Ne"</t>
  </si>
  <si>
    <t>K Neznámu 177/28, Praha 8 Kobylisy. 100 00</t>
  </si>
  <si>
    <t>(PODVOJNÉ) ÚČETNICTVÍ</t>
  </si>
  <si>
    <t>JEDNODUCHÉ ÚČETNICTVÍ</t>
  </si>
  <si>
    <t>DAŇOVÁ EVIDENCE</t>
  </si>
  <si>
    <t>PAUŠÁLNÍ (VÝDAJE, NEBO DAŇ)</t>
  </si>
  <si>
    <t>Test Podniku v obtížích (PvO) - pro programy v Národní rozvojové bance, a.s.</t>
  </si>
  <si>
    <t>Krok 1:</t>
  </si>
  <si>
    <t xml:space="preserve">JEDNODUCHÉ ÚČETNICTVÍ </t>
  </si>
  <si>
    <t>banky; spořitelní a úvěrní družstva; obchodníci s cenými papíry; investiční společnosti; investiční fondy; penzijní společnosti; instituce elektronických peněz; platební instituce</t>
  </si>
  <si>
    <t>Bez zaokrouhlení</t>
  </si>
  <si>
    <t>Zaokrouhleno na tisíce</t>
  </si>
  <si>
    <t>pojišťovky</t>
  </si>
  <si>
    <t>právní
formy</t>
  </si>
  <si>
    <t>OSVČ, která neúčtuje v soustavě jednoduchého nebo podvojného účetnictví nebo nevykazuje paušální výdaje.</t>
  </si>
  <si>
    <t>OSVČ, která neúčtuje v soustavě jednoduchého nebo podvojného účetnictví a nevede daňovou evidenci</t>
  </si>
  <si>
    <t>PAUŠÁLNÍ VÝDAJE 
A PAUŠÁLNÍ DAŇ</t>
  </si>
  <si>
    <t xml:space="preserve">Podle které vyhlášky eviduje žadatel své účetnictví?  </t>
  </si>
  <si>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Například OSVČ ručí celým svým jměním, tzn. OSVČ odpoví "ANO". Členové honebního společenstva ručí za veškeré závazky honebního společenstva, tzn. taktéž odpoví "ANO".</t>
    </r>
  </si>
  <si>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OSVČ ručí celým svým jměním, tzn. OSVČ odpoví "ANO". Členové honebního společenstva ručí za veškeré závazky honebního společenstva, tzn. taktéž odpoví "ANO".</t>
    </r>
  </si>
  <si>
    <t>Žadatel v níže uvedených tabulkách vyplňuje (zaokrouhlená / nezaokrouhlená) data:</t>
  </si>
  <si>
    <t xml:space="preserve">(podnikatelké subjekty podléhající kritériu "A") </t>
  </si>
  <si>
    <t xml:space="preserve">(podnikatelské subjekty podléhající kritériu "B") </t>
  </si>
  <si>
    <t>Není relevantní pro výpočet kritérií "A", "B" a "E". Subjekt podstoupí pouze kritéria "C" a "D".</t>
  </si>
  <si>
    <t xml:space="preserve">(Neziskové organizace) </t>
  </si>
  <si>
    <t xml:space="preserve">(OSVČ) </t>
  </si>
  <si>
    <t>Využijí se všechna relevantní data z daňové evidence o příjmech, výdajích, pohledávkách, závazcích, případně další doplňující údaje poskytnuté žadatelem o podporu, který vede daňovou evidenci.</t>
  </si>
  <si>
    <t>zdravotní pojišťovny</t>
  </si>
  <si>
    <t>organizační složky státu;  územní samosprávné celky, svazy obcí a regionální rady regionů soudržnosti, příspěvkové organizace, rozpočtové organizace, státní fondy</t>
  </si>
  <si>
    <t>spolky, odborové organizace, náboženská společenství, pobočné spolky nebo honební společenstva, které nevedou (podvojné) účetnictví ani daňovou evidenci (vedou jednoduché účetnictví). 
OSVČ, která neúčtuje v soustavě jednoduchého nebo podvojného účetnictví nebo nevykazuje paušální výdaje.</t>
  </si>
  <si>
    <t>doplňující údaj z účetn (jednod. Účetnictví) /daňové evidence, který není ve výkazech podniku</t>
  </si>
  <si>
    <t>nákladové úroky (placené)</t>
  </si>
  <si>
    <t>d</t>
  </si>
  <si>
    <r>
      <t xml:space="preserve">Je pouze žadatel (bez skupiny) malý, nebo střední podnik (MSP)?
</t>
    </r>
    <r>
      <rPr>
        <u/>
        <sz val="9"/>
        <color theme="1"/>
        <rFont val="Arial"/>
        <family val="2"/>
        <charset val="238"/>
      </rPr>
      <t>Zjedodušení:</t>
    </r>
    <r>
      <rPr>
        <sz val="9"/>
        <color theme="1"/>
        <rFont val="Arial"/>
        <family val="2"/>
        <charset val="238"/>
      </rPr>
      <t xml:space="preserve"> "Zaměstnává žadatel méně než 250 zaměstnanců? Pokud ano, je MSP.</t>
    </r>
  </si>
  <si>
    <t>Je žadatel (bez skupiny) malý, nebo střední podnik (MSP)?</t>
  </si>
  <si>
    <t>Přehled všech použitých vstupů pro výpočty v jednotlivých tabulkách</t>
  </si>
  <si>
    <t>(A.10)</t>
  </si>
  <si>
    <t>(B.99)</t>
  </si>
  <si>
    <t>(B.03)</t>
  </si>
  <si>
    <t xml:space="preserve">akciové společnosti;
společnosti s ručením omezeným;
družstva; státní podniky; evropské družstevní společnosti; jiné formy s omezenou formou ručení společníků (členů), veřejná obchodní společnost (pokud vytváří základní kapitál); komanditní společnost (pokud vytváří základní kapitál). </t>
  </si>
  <si>
    <t>OSVČ, která nevede jednoduché účetnictí, daňovou evidenci nebo nevykazuje paušální výdaje; a jiné formy, kde alespoň jeden ze společníků (členů) plně ručí za závazky; veřejná obchodní společnost (pokud nevytvoří základní kapitál); komanditní společnost (pokud nevytváří základní kapitál).</t>
  </si>
  <si>
    <t>Počítá se na listu ÚČETNICTVÍ (výpočet je úplně stejný pro všechny)</t>
  </si>
  <si>
    <t>spolky, politické strany a hnutí; církve a náboženské společnosti; obecně prospěšné společnosti; zájmové sdružení právnických osob; nadace, nadační fondy a ústavy; společenství vlastníků jednotek; veřejné vysoké škody; veřejné výzkumní instituce; a další</t>
  </si>
  <si>
    <t>Nevím</t>
  </si>
  <si>
    <r>
      <t>Je žadatel</t>
    </r>
    <r>
      <rPr>
        <b/>
        <u/>
        <sz val="11"/>
        <color theme="1"/>
        <rFont val="Arial"/>
        <family val="2"/>
        <charset val="238"/>
      </rPr>
      <t xml:space="preserve"> včetně skupiny</t>
    </r>
    <r>
      <rPr>
        <b/>
        <sz val="11"/>
        <color theme="1"/>
        <rFont val="Arial"/>
        <family val="2"/>
        <charset val="238"/>
      </rPr>
      <t xml:space="preserve"> malý, nebo střední podnik (MSP)?</t>
    </r>
  </si>
  <si>
    <r>
      <rPr>
        <b/>
        <sz val="11"/>
        <color theme="1"/>
        <rFont val="Arial"/>
        <family val="2"/>
        <charset val="238"/>
      </rPr>
      <t xml:space="preserve">Podniky podléhající </t>
    </r>
    <r>
      <rPr>
        <b/>
        <sz val="20"/>
        <color theme="1"/>
        <rFont val="Arial"/>
        <family val="2"/>
        <charset val="238"/>
      </rPr>
      <t>kritériu A</t>
    </r>
    <r>
      <rPr>
        <sz val="20"/>
        <color theme="1"/>
        <rFont val="Arial"/>
        <family val="2"/>
        <charset val="238"/>
      </rPr>
      <t xml:space="preserve"> </t>
    </r>
  </si>
  <si>
    <r>
      <rPr>
        <b/>
        <sz val="11"/>
        <color theme="1"/>
        <rFont val="Arial"/>
        <family val="2"/>
        <charset val="238"/>
      </rPr>
      <t xml:space="preserve">Podniky podléhající </t>
    </r>
    <r>
      <rPr>
        <b/>
        <sz val="18"/>
        <color theme="1"/>
        <rFont val="Arial"/>
        <family val="2"/>
        <charset val="238"/>
      </rPr>
      <t>kritériu B</t>
    </r>
    <r>
      <rPr>
        <sz val="11"/>
        <color theme="1"/>
        <rFont val="Arial"/>
        <family val="2"/>
        <charset val="238"/>
      </rPr>
      <t xml:space="preserve"> </t>
    </r>
  </si>
  <si>
    <r>
      <t xml:space="preserve">Podniky </t>
    </r>
    <r>
      <rPr>
        <b/>
        <sz val="18"/>
        <rFont val="Arial"/>
        <family val="2"/>
        <charset val="238"/>
      </rPr>
      <t>nepodléhající kritériu A ani kritériu B</t>
    </r>
  </si>
  <si>
    <r>
      <t>Podnikatelská historie žadatele</t>
    </r>
    <r>
      <rPr>
        <b/>
        <u/>
        <sz val="11"/>
        <rFont val="Arial"/>
        <family val="2"/>
        <charset val="238"/>
      </rPr>
      <t xml:space="preserve"> a všech členů skupiny</t>
    </r>
    <r>
      <rPr>
        <b/>
        <sz val="11"/>
        <rFont val="Arial"/>
        <family val="2"/>
        <charset val="238"/>
      </rPr>
      <t xml:space="preserve"> je kratší než 3 roky od data podání žádosti?</t>
    </r>
    <r>
      <rPr>
        <sz val="11"/>
        <rFont val="Arial"/>
        <family val="2"/>
        <charset val="238"/>
      </rPr>
      <t xml:space="preserve"> (Pokud je jeden ze členů skupiny starší než 3 roky, odpověď je "NE")</t>
    </r>
  </si>
  <si>
    <t>Právnická osoba</t>
  </si>
  <si>
    <t>Fyzická osoba podnikající</t>
  </si>
  <si>
    <t xml:space="preserve">Jakou právní subjektivitu má žadatel? </t>
  </si>
  <si>
    <t>Pomocné řazení pro list ÚČETNICTVÍ</t>
  </si>
  <si>
    <t>Pokud je to právnická osoba nebo fyzická osoba</t>
  </si>
  <si>
    <t>Nejprve toto je kopie odpovědí</t>
  </si>
  <si>
    <t>Právní subjektivita?</t>
  </si>
  <si>
    <t xml:space="preserve">Má žadatel základní kapitál? </t>
  </si>
  <si>
    <t>ZDE VÝSLEDEK</t>
  </si>
  <si>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Veřená obchodní společnost (v.o.s.) vždy odpoví "ANO" (základní kapitál je zjištěn v předchozí otázce).
Komanditní společnost (k.s.) vždy odpoví "ANO" (základní kapitál je zjištěn v předchozí otázce).
OSVČ s (podvojným) účetnictvím odpoví "NE".  </t>
    </r>
  </si>
  <si>
    <t>Nyní klikněte na soustavu účetnictví žadatele - dojde k přesměrování na příslušný list.</t>
  </si>
  <si>
    <t>Datum vyplnění tohoto formuláře (dd.mm.rrrr)</t>
  </si>
  <si>
    <t>Rok -1</t>
  </si>
  <si>
    <t>Rok z datumu vyplnění</t>
  </si>
  <si>
    <t xml:space="preserve">Způsob podání daňového přiznání za účetní období: </t>
  </si>
  <si>
    <t>Věta:</t>
  </si>
  <si>
    <t>Žadatel elektronicky (do 30.4.)</t>
  </si>
  <si>
    <t>Žadatel vede hospodářský rok</t>
  </si>
  <si>
    <t>Posledním MOŽNÝM uzavřeným rokem je:</t>
  </si>
  <si>
    <t>Skutečným uzavřeným rokem je:</t>
  </si>
  <si>
    <t>když je vyšší než 2000</t>
  </si>
  <si>
    <t>Rok-2</t>
  </si>
  <si>
    <t>Určení datumu na listu Účetnictví</t>
  </si>
  <si>
    <t>A - kritérium stavu vlastního kapitálu - společníci neručí za závazky (dle vyhlášky č. 410/2009 Sb.)</t>
  </si>
  <si>
    <t>Daňový poradce/Auditor (do 30.6.)</t>
  </si>
  <si>
    <t>Žadatel vznikl v letošním roce</t>
  </si>
  <si>
    <t xml:space="preserve">Žadatel podal (tj. uzavřel) daňové přiznání za účetní období: </t>
  </si>
  <si>
    <t>Věty spojené:</t>
  </si>
  <si>
    <t>Roky v číselníku v listu SKUPINA:</t>
  </si>
  <si>
    <r>
      <rPr>
        <b/>
        <sz val="11"/>
        <color theme="1"/>
        <rFont val="Arial"/>
        <family val="2"/>
        <charset val="238"/>
      </rPr>
      <t>Rok N-1</t>
    </r>
    <r>
      <rPr>
        <sz val="10"/>
        <color theme="1"/>
        <rFont val="Arial"/>
        <family val="2"/>
        <charset val="238"/>
      </rPr>
      <t xml:space="preserve">
Nejaktuálnější učetně uzavřené období mínus 1 rok</t>
    </r>
  </si>
  <si>
    <t>Rok N</t>
  </si>
  <si>
    <t>Úprava ROK N (aby tam byl text)</t>
  </si>
  <si>
    <t>LIST ÚČETNICTVÍ</t>
  </si>
  <si>
    <t>Rok N-1</t>
  </si>
  <si>
    <t>PvO - Test žadatele (bez skupiny) vedoucí účetnictví</t>
  </si>
  <si>
    <t>PvO - Test žadatele (bez skupiny) vedoucí jednoduché účetnictví</t>
  </si>
  <si>
    <t>PvO - Test žadatele (bez skupiny) vedoucí daňovou evidenci</t>
  </si>
  <si>
    <t>PvO - Test žadatele (bez skupiny) vedoucí paušální daň, nebo paušální výdaje</t>
  </si>
  <si>
    <r>
      <rPr>
        <b/>
        <sz val="11"/>
        <color rgb="FFFF0000"/>
        <rFont val="Arial"/>
        <family val="2"/>
        <charset val="238"/>
      </rPr>
      <t>Krok 4:</t>
    </r>
    <r>
      <rPr>
        <sz val="11"/>
        <color rgb="FFFF0000"/>
        <rFont val="Arial"/>
        <family val="2"/>
        <charset val="238"/>
      </rPr>
      <t xml:space="preserve"> Výsledek testu.</t>
    </r>
  </si>
  <si>
    <t>SKUPINA PODNIKŮ</t>
  </si>
  <si>
    <r>
      <rPr>
        <b/>
        <sz val="11"/>
        <color rgb="FFFF0000"/>
        <rFont val="Arial"/>
        <family val="2"/>
        <charset val="238"/>
      </rPr>
      <t xml:space="preserve">Krok 3: </t>
    </r>
    <r>
      <rPr>
        <sz val="11"/>
        <color rgb="FFFF0000"/>
        <rFont val="Arial"/>
        <family val="2"/>
        <charset val="238"/>
      </rPr>
      <t xml:space="preserve">
Vyplňte tato písmena.</t>
    </r>
  </si>
  <si>
    <t>Vede-li podnik hospodářký rok, zaškrtněte symbol ▯,  vede-li kalendářní rok, nezaškrtávejte symbol.</t>
  </si>
  <si>
    <t xml:space="preserve">Poznámka k vyplnění: </t>
  </si>
  <si>
    <t>III.A</t>
  </si>
  <si>
    <t>III.B</t>
  </si>
  <si>
    <t>III.C</t>
  </si>
  <si>
    <t>IV.</t>
  </si>
  <si>
    <t xml:space="preserve">Pokyn k vyplnění: </t>
  </si>
  <si>
    <t>b) údaje za jednotlivé podniky patřící do skupiny.</t>
  </si>
  <si>
    <t>PvO - Test žadatele včetně skupiny</t>
  </si>
  <si>
    <t>Do krytérií (část III.) se vpisují údaje za celou skupinu podniků následujícím způsobem:</t>
  </si>
  <si>
    <t>Toto je pomocná tabulka k vyplnění (v plném znění na listu PŘEHLED).</t>
  </si>
  <si>
    <t>a) Na první místo vždy vložte název a data za žadatele – má-li žadatel údaje z konsolidované účetní závěrky s dalšími podniky, vložte rovnou konsolidovanou účetní závěrku,</t>
  </si>
  <si>
    <t>Je žadatel o podporu podnikem v obtížích? 
(Je splněno některé z relevantních kritérií A až E?)</t>
  </si>
  <si>
    <t>ROK PRVNÍ</t>
  </si>
  <si>
    <t>ROK DRUHÝ</t>
  </si>
  <si>
    <t>Podnik</t>
  </si>
  <si>
    <t>Je rovno?</t>
  </si>
  <si>
    <t>Pouze rok 2023 Vlastní kapitál</t>
  </si>
  <si>
    <t>Pouze rok 2022 Vlastní kapitál</t>
  </si>
  <si>
    <t>VK za PRVNÍ ROK</t>
  </si>
  <si>
    <t>VK za DRUHÝ ROK</t>
  </si>
  <si>
    <t>Závazky za rok 2023</t>
  </si>
  <si>
    <t>Závazky za rok 2022</t>
  </si>
  <si>
    <t>Závazky R1</t>
  </si>
  <si>
    <t>Závazky R2</t>
  </si>
  <si>
    <t>Odpisy za rok 2023</t>
  </si>
  <si>
    <t>Odpisy za rok 2022</t>
  </si>
  <si>
    <t>Odpisy R1</t>
  </si>
  <si>
    <t>Odpisy R2</t>
  </si>
  <si>
    <t>Nákladové úroky 2023</t>
  </si>
  <si>
    <t>Nákladové úroky 2022</t>
  </si>
  <si>
    <t>Nákl úrok R1</t>
  </si>
  <si>
    <t>Nákl úrok R2</t>
  </si>
  <si>
    <t>Výsledek hosp. před zdaň 2023</t>
  </si>
  <si>
    <t>Výsledek hosp. před zdaň 2022</t>
  </si>
  <si>
    <t>Výsledek H. R1</t>
  </si>
  <si>
    <t>Výsledek H. R2</t>
  </si>
  <si>
    <t>Text výsledek:</t>
  </si>
  <si>
    <t xml:space="preserve">Výhradně rok </t>
  </si>
  <si>
    <t>Je písmeno E relevantní?</t>
  </si>
  <si>
    <t>Má se zobrazit rozšíření?</t>
  </si>
  <si>
    <t>Kombinovaný rok N</t>
  </si>
  <si>
    <t>Má se vizuálně zobrazit?</t>
  </si>
  <si>
    <t>Doplňující se text - Poznámky k vyplnění.</t>
  </si>
  <si>
    <t>Doplňující se text - Pokyn k vyplnění:</t>
  </si>
  <si>
    <t>Když odpověď 2x ANO, tak 1, jinak 0</t>
  </si>
  <si>
    <t>Text k vyplnění:</t>
  </si>
  <si>
    <t>Test PvO v nejistotě. Protože došlo ke kombinaci let v roce N i v roce N-1, a výsledek testu byl dle písmena E pozitivní, Banka považuje žadatele za PvO do doby, dokud nebudou mít všichni členové skupiny uzavřená svá účetní období a žadatel nevyplní znova list Skupina podniků za celou skupinu.</t>
  </si>
  <si>
    <t>Obdržel žadatel podporu na záchranu a zatím nesplatil půjčku či neukončil záruku?</t>
  </si>
  <si>
    <t>Krok 8.</t>
  </si>
  <si>
    <t>Níže uvedené hodnoty se doplní zcela automaticky.</t>
  </si>
  <si>
    <r>
      <t xml:space="preserve">V předchozím bodě II. bylo vyplněno, že žadatel je MSP (tzn. byl hodnocen pomocí Přílohy MSP) a zároveň je podnikatelská historie </t>
    </r>
    <r>
      <rPr>
        <u/>
        <sz val="12"/>
        <color theme="1"/>
        <rFont val="Arial"/>
        <family val="2"/>
        <charset val="238"/>
      </rPr>
      <t>všech</t>
    </r>
    <r>
      <rPr>
        <sz val="12"/>
        <color theme="1"/>
        <rFont val="Arial"/>
        <family val="2"/>
        <charset val="238"/>
      </rPr>
      <t xml:space="preserve"> členů ve skupině (ve smyslu "jeden podnik") kratší než 3 roky. Taková skupina (dle pravidel PvO) nemůže být testována, resp. bude testováno pouze písmeno C a D.</t>
    </r>
  </si>
  <si>
    <t>DŮLEŽITÉ POKUD DOCHÁZÍ K EDITACI A ZMĚNÁM V TOMTO SOUBORU</t>
  </si>
  <si>
    <t>Pokud např. dochází k přidávání řádků, vždy je nutné jej realizovat uprostřed tabulky (mezi podnikem 5. a 6.)</t>
  </si>
  <si>
    <t>Poté je nutné otestovat, i jestli se zkopírovalo Formátování tabulky</t>
  </si>
  <si>
    <t>Pozor! Tím, že byl přidán další řádek, pravděpodobně nebudou fungovat automatické doplňování</t>
  </si>
  <si>
    <t>Testu písmene C a D (kdy odpovídá ano/ne). Je nuté to otestovat!!!</t>
  </si>
  <si>
    <r>
      <t xml:space="preserve">Ručí alespoň jeden ze společníků (členů) plně za závazky žadatele? 
</t>
    </r>
    <r>
      <rPr>
        <sz val="9"/>
        <color theme="1"/>
        <rFont val="Arial"/>
        <family val="2"/>
        <charset val="238"/>
      </rPr>
      <t xml:space="preserve">Např.: splečníci v s.r.o. ručí pouze omezeně do výše ZK, v takovém případě bude odpověď "NE". Obdobně tomu bude u družstva, a.s., SE, SCE a v dalších společnostech. Veřejná obchodní společnost ( v.o.s)  pokud tvoří základní kapitál - odpoví "NE", pokud netvoří základní kapitál - odpoví "ANO". Pro komanditní společnost (k.s.) pokud tvoří základní kapitál (členové mají finanční vkladovou povinnost) - odpoví "NE", pokud netvoří základní kapitál - odpoví "ANO".
OSVČ s (podvojným) účetnictvím odpoví "ANO". </t>
    </r>
  </si>
  <si>
    <t>Má se má alternativa počítat?</t>
  </si>
  <si>
    <t>ROK1</t>
  </si>
  <si>
    <t>ROK2</t>
  </si>
  <si>
    <t>1 = nedošlo ke kombinaci let, 2 = došlo</t>
  </si>
  <si>
    <t>Má smysl to rozdělovat?</t>
  </si>
  <si>
    <t>Toto, jestli se má zobrazit a počítat alternativa</t>
  </si>
  <si>
    <t>Závěr, má se počítat?</t>
  </si>
  <si>
    <t>Součet čísel</t>
  </si>
  <si>
    <t>E - kritérium v případě kombinace let:</t>
  </si>
  <si>
    <t>Je hodnota vyplněna?</t>
  </si>
  <si>
    <t>Je rok vyplněn?</t>
  </si>
  <si>
    <t>Když je kritérium E splněno (alespoň z jednoho, tak 1, jinak 0</t>
  </si>
  <si>
    <r>
      <rPr>
        <b/>
        <sz val="11"/>
        <color rgb="FFFF0000"/>
        <rFont val="Arial"/>
        <family val="2"/>
        <charset val="238"/>
      </rPr>
      <t>Krok 9:</t>
    </r>
    <r>
      <rPr>
        <sz val="11"/>
        <color rgb="FFFF0000"/>
        <rFont val="Arial"/>
        <family val="2"/>
        <charset val="238"/>
      </rPr>
      <t xml:space="preserve"> Výsledek testu za celou skupinu.</t>
    </r>
  </si>
  <si>
    <r>
      <rPr>
        <b/>
        <sz val="11"/>
        <color rgb="FFFF0000"/>
        <rFont val="Arial"/>
        <family val="2"/>
        <charset val="238"/>
      </rPr>
      <t>Krok 2:</t>
    </r>
    <r>
      <rPr>
        <sz val="11"/>
        <color rgb="FFFF0000"/>
        <rFont val="Arial"/>
        <family val="2"/>
        <charset val="238"/>
      </rPr>
      <t xml:space="preserve"> Nyní vyplňte celou úvodní část I. (otázky nelze přeskočit). Vyplňujte vždy bíle buňky.</t>
    </r>
  </si>
  <si>
    <r>
      <rPr>
        <b/>
        <sz val="11"/>
        <color rgb="FFFF0000"/>
        <rFont val="Arial"/>
        <family val="2"/>
        <charset val="238"/>
      </rPr>
      <t>Krok 2:</t>
    </r>
    <r>
      <rPr>
        <sz val="11"/>
        <color rgb="FFFF0000"/>
        <rFont val="Arial"/>
        <family val="2"/>
        <charset val="238"/>
      </rPr>
      <t xml:space="preserve"> Nyní vyplňte celou úvodní část a odpovězte na všechny otázky (otázky nelze přeskočit). Vyplňujte vždy bílé buňky.</t>
    </r>
  </si>
  <si>
    <r>
      <rPr>
        <b/>
        <sz val="11"/>
        <color rgb="FFFF0000"/>
        <rFont val="Arial"/>
        <family val="2"/>
        <charset val="238"/>
      </rPr>
      <t>Krok 6:</t>
    </r>
    <r>
      <rPr>
        <sz val="11"/>
        <color rgb="FFFF0000"/>
        <rFont val="Arial"/>
        <family val="2"/>
        <charset val="238"/>
      </rPr>
      <t xml:space="preserve"> Odpovězte na otázky. Vyplňujte vždy bílé buňky.</t>
    </r>
  </si>
  <si>
    <t>Posledním MOŽNÝM uzavřeným rokem je</t>
  </si>
  <si>
    <t>Určení datumu na listu Jednoduché účetnictví</t>
  </si>
  <si>
    <t>Určení datumu na listu Daňová evidence</t>
  </si>
  <si>
    <t>Určení datumu na listu Paušální (výdaje, daň)</t>
  </si>
  <si>
    <t>Poslední MOŽNÝ účetní rok žadatele (automatické doplnění do skupiny):</t>
  </si>
  <si>
    <t>Posledním možným uzvařeným rokem je:</t>
  </si>
  <si>
    <t xml:space="preserve">               Rozvaha / Přehled o majetku a závazcích</t>
  </si>
  <si>
    <r>
      <rPr>
        <b/>
        <sz val="11"/>
        <color rgb="FFFF0000"/>
        <rFont val="Arial"/>
        <family val="2"/>
        <charset val="238"/>
      </rPr>
      <t xml:space="preserve">Krok 7: </t>
    </r>
    <r>
      <rPr>
        <sz val="11"/>
        <color rgb="FFFF0000"/>
        <rFont val="Arial"/>
        <family val="2"/>
        <charset val="238"/>
      </rPr>
      <t>Vyplňte tyto tabulky podle výše uvedeného pokynu. Vyplňujte pouze bílé buňky.</t>
    </r>
  </si>
  <si>
    <r>
      <rPr>
        <b/>
        <sz val="11"/>
        <color theme="1"/>
        <rFont val="Arial"/>
        <family val="2"/>
        <charset val="238"/>
      </rPr>
      <t>Rok N</t>
    </r>
    <r>
      <rPr>
        <sz val="10"/>
        <color theme="1"/>
        <rFont val="Arial"/>
        <family val="2"/>
        <charset val="238"/>
      </rPr>
      <t xml:space="preserve">
Vyberte vždy nejaktuálnější možné učetně </t>
    </r>
    <r>
      <rPr>
        <u/>
        <sz val="10"/>
        <color theme="1"/>
        <rFont val="Arial"/>
        <family val="2"/>
        <charset val="238"/>
      </rPr>
      <t>uzavřené</t>
    </r>
    <r>
      <rPr>
        <sz val="10"/>
        <color theme="1"/>
        <rFont val="Arial"/>
        <family val="2"/>
        <charset val="238"/>
      </rPr>
      <t xml:space="preserve"> období</t>
    </r>
  </si>
  <si>
    <r>
      <t xml:space="preserve">Rok N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</si>
  <si>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r>
      <rPr>
        <b/>
        <sz val="11"/>
        <color theme="1"/>
        <rFont val="Arial"/>
        <family val="2"/>
        <charset val="238"/>
      </rPr>
      <t>Rok N</t>
    </r>
    <r>
      <rPr>
        <sz val="11"/>
        <color theme="1"/>
        <rFont val="Arial"/>
        <family val="2"/>
        <charset val="238"/>
      </rPr>
      <t xml:space="preserve">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</si>
  <si>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t xml:space="preserve">                Rozvaha / Přehled o majetku a závazcích</t>
  </si>
  <si>
    <t xml:space="preserve">              Rozvaha / Přehled o majetku a závazcích</t>
  </si>
  <si>
    <t>Původní označení roků</t>
  </si>
  <si>
    <t>Podnik 1.</t>
  </si>
  <si>
    <t>Podnik 2.</t>
  </si>
  <si>
    <t>Podnik 3.</t>
  </si>
  <si>
    <t>Podnik 4.</t>
  </si>
  <si>
    <t>Podnik 5.</t>
  </si>
  <si>
    <t>Podnik 6.</t>
  </si>
  <si>
    <t>Podnik 7.</t>
  </si>
  <si>
    <t>Podnik 8.</t>
  </si>
  <si>
    <t>Podnik 9.</t>
  </si>
  <si>
    <t>Podnik 10.</t>
  </si>
  <si>
    <t>Obdržel žadatel podporu na záchranu a zatím nesplatil tuto půjčku nebo neukončil záruku (podpory na záchranu)?</t>
  </si>
  <si>
    <t>Obdržel žadatel podporu na záchranu a zatím nesplatil tuto půjčku nebo neukončil záruku (podopry na záchranu)?</t>
  </si>
  <si>
    <t>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t>
  </si>
  <si>
    <t>Volné pole pro poznámky (použijte dle potřeby):</t>
  </si>
  <si>
    <t>Podnik 11.</t>
  </si>
  <si>
    <t>Podnik 13.</t>
  </si>
  <si>
    <t>Podnik 12.</t>
  </si>
  <si>
    <t>Podnik 14.</t>
  </si>
  <si>
    <t>Podnik 15.</t>
  </si>
  <si>
    <t>Podnik 16.</t>
  </si>
  <si>
    <t>Podnik 17.</t>
  </si>
  <si>
    <t>Podnik 18.</t>
  </si>
  <si>
    <t>Podnik 19.</t>
  </si>
  <si>
    <t>Podnik 20.</t>
  </si>
  <si>
    <t>Podnik 21.</t>
  </si>
  <si>
    <t>Podnik 22.</t>
  </si>
  <si>
    <t>Podnik 23.</t>
  </si>
  <si>
    <t>Podnik 24.</t>
  </si>
  <si>
    <t>Podnik 25.</t>
  </si>
  <si>
    <t>Podnik 26.</t>
  </si>
  <si>
    <t>Podnik 27.</t>
  </si>
  <si>
    <t>Podnik 28.</t>
  </si>
  <si>
    <t>Podnik 29.</t>
  </si>
  <si>
    <t>Podnik 30.</t>
  </si>
  <si>
    <t>Má text zašednout?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</si>
</sst>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2"/>
      <color theme="1"/>
      <name val="Calibri"/>
      <family val="2"/>
      <charset val="238"/>
      <scheme val="minor"/>
    </font>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u/>
      <sz val="12"/>
      <color theme="10"/>
      <name val="Calibri"/>
      <family val="2"/>
      <charset val="238"/>
      <scheme val="minor"/>
    </font>
    <font>
      <sz val="11"/>
      <color theme="1"/>
      <name val="Calibri"/>
      <family val="2"/>
      <charset val="238"/>
      <scheme val="minor"/>
    </font>
    <font>
      <sz val="10"/>
      <name val="Arial CE"/>
      <charset val="238"/>
    </font>
    <font>
      <sz val="10"/>
      <name val="Arial"/>
      <family val="2"/>
      <charset val="238"/>
    </font>
    <font>
      <b/>
      <sz val="14"/>
      <color theme="1"/>
      <name val="Arial"/>
      <family val="2"/>
      <charset val="238"/>
    </font>
    <font>
      <sz val="11"/>
      <color theme="1"/>
      <name val="Arial"/>
      <family val="2"/>
      <charset val="238"/>
    </font>
    <font>
      <sz val="11"/>
      <name val="Arial"/>
      <family val="2"/>
      <charset val="238"/>
    </font>
    <font>
      <b/>
      <sz val="11"/>
      <color theme="1"/>
      <name val="Arial"/>
      <family val="2"/>
      <charset val="238"/>
    </font>
    <font>
      <u/>
      <sz val="11"/>
      <color theme="10"/>
      <name val="Arial"/>
      <family val="2"/>
      <charset val="238"/>
    </font>
    <font>
      <b/>
      <sz val="11"/>
      <color rgb="FF000000"/>
      <name val="Arial"/>
      <family val="2"/>
      <charset val="238"/>
    </font>
    <font>
      <b/>
      <sz val="11"/>
      <name val="Arial"/>
      <family val="2"/>
      <charset val="238"/>
    </font>
    <font>
      <i/>
      <sz val="11"/>
      <name val="Arial"/>
      <family val="2"/>
      <charset val="238"/>
    </font>
    <font>
      <u/>
      <sz val="12"/>
      <name val="Calibri"/>
      <family val="2"/>
      <charset val="238"/>
      <scheme val="minor"/>
    </font>
    <font>
      <b/>
      <sz val="10"/>
      <name val="Arial"/>
      <family val="2"/>
      <charset val="238"/>
    </font>
    <font>
      <i/>
      <sz val="10"/>
      <name val="Arial"/>
      <family val="2"/>
      <charset val="238"/>
    </font>
    <font>
      <sz val="11"/>
      <color rgb="FF000000"/>
      <name val="Arial"/>
      <family val="2"/>
      <charset val="238"/>
    </font>
    <font>
      <sz val="11"/>
      <color rgb="FFFF0000"/>
      <name val="Calibri"/>
      <family val="2"/>
      <charset val="238"/>
      <scheme val="minor"/>
    </font>
    <font>
      <sz val="12"/>
      <color rgb="FFFF0000"/>
      <name val="Arial"/>
      <family val="2"/>
      <charset val="238"/>
    </font>
    <font>
      <sz val="11"/>
      <name val="Calibri"/>
      <family val="2"/>
      <charset val="238"/>
      <scheme val="minor"/>
    </font>
    <font>
      <b/>
      <sz val="11"/>
      <color rgb="FFFF0000"/>
      <name val="Calibri"/>
      <family val="2"/>
      <charset val="238"/>
      <scheme val="minor"/>
    </font>
    <font>
      <b/>
      <sz val="11"/>
      <color rgb="FFFF0000"/>
      <name val="Arial"/>
      <family val="2"/>
      <charset val="238"/>
    </font>
    <font>
      <sz val="9"/>
      <color theme="1"/>
      <name val="Arial"/>
      <family val="2"/>
      <charset val="238"/>
    </font>
    <font>
      <b/>
      <u/>
      <sz val="11"/>
      <color theme="1"/>
      <name val="Arial"/>
      <family val="2"/>
      <charset val="238"/>
    </font>
    <font>
      <b/>
      <u/>
      <sz val="11"/>
      <name val="Arial"/>
      <family val="2"/>
      <charset val="238"/>
    </font>
    <font>
      <sz val="11"/>
      <color rgb="FFFF0000"/>
      <name val="Arial"/>
      <family val="2"/>
      <charset val="238"/>
    </font>
    <font>
      <sz val="12"/>
      <color theme="1"/>
      <name val="Arial"/>
      <family val="2"/>
      <charset val="238"/>
    </font>
    <font>
      <u/>
      <sz val="9"/>
      <color theme="1"/>
      <name val="Arial"/>
      <family val="2"/>
      <charset val="238"/>
    </font>
    <font>
      <b/>
      <sz val="18"/>
      <color theme="1"/>
      <name val="Arial"/>
      <family val="2"/>
      <charset val="238"/>
    </font>
    <font>
      <b/>
      <sz val="12"/>
      <color rgb="FFFF0000"/>
      <name val="Arial"/>
      <family val="2"/>
      <charset val="238"/>
    </font>
    <font>
      <b/>
      <sz val="20"/>
      <color theme="1"/>
      <name val="Arial"/>
      <family val="2"/>
      <charset val="238"/>
    </font>
    <font>
      <sz val="20"/>
      <color theme="1"/>
      <name val="Arial"/>
      <family val="2"/>
      <charset val="238"/>
    </font>
    <font>
      <b/>
      <sz val="18"/>
      <name val="Arial"/>
      <family val="2"/>
      <charset val="238"/>
    </font>
    <font>
      <b/>
      <sz val="12"/>
      <color theme="1"/>
      <name val="Calibri"/>
      <family val="2"/>
      <charset val="238"/>
      <scheme val="minor"/>
    </font>
    <font>
      <b/>
      <sz val="10"/>
      <color theme="1"/>
      <name val="Arial"/>
      <family val="2"/>
      <charset val="238"/>
    </font>
    <font>
      <sz val="10"/>
      <color rgb="FF000000"/>
      <name val="Arial"/>
      <family val="2"/>
      <charset val="238"/>
    </font>
    <font>
      <sz val="12"/>
      <color rgb="FFFF0000"/>
      <name val="Calibri"/>
      <family val="2"/>
      <charset val="238"/>
      <scheme val="minor"/>
    </font>
    <font>
      <u/>
      <sz val="12"/>
      <color theme="1"/>
      <name val="Arial"/>
      <family val="2"/>
      <charset val="238"/>
    </font>
    <font>
      <b/>
      <sz val="12"/>
      <color theme="1"/>
      <name val="Arial"/>
      <family val="2"/>
      <charset val="238"/>
    </font>
    <font>
      <sz val="11"/>
      <color theme="5"/>
      <name val="Arial"/>
      <family val="2"/>
      <charset val="238"/>
    </font>
    <font>
      <sz val="12"/>
      <color theme="5"/>
      <name val="Calibri"/>
      <family val="2"/>
      <charset val="238"/>
    </font>
    <font>
      <sz val="11"/>
      <color theme="7" tint="-0.249977111117893"/>
      <name val="Arial"/>
      <family val="2"/>
      <charset val="238"/>
    </font>
    <font>
      <sz val="11"/>
      <color rgb="FFC00000"/>
      <name val="Arial"/>
      <family val="2"/>
      <charset val="238"/>
    </font>
    <font>
      <b/>
      <sz val="12"/>
      <name val="Arial"/>
      <family val="2"/>
      <charset val="238"/>
    </font>
    <font>
      <u/>
      <sz val="10"/>
      <color theme="1"/>
      <name val="Arial"/>
      <family val="2"/>
      <charset val="238"/>
    </font>
    <font>
      <sz val="9"/>
      <color indexed="81"/>
      <name val="Tahoma"/>
      <charset val="1"/>
    </font>
    <font>
      <b/>
      <sz val="11"/>
      <color indexed="81"/>
      <name val="Tahoma"/>
      <family val="2"/>
      <charset val="238"/>
    </font>
    <font>
      <sz val="10"/>
      <color indexed="81"/>
      <name val="Tahoma"/>
      <family val="2"/>
      <charset val="238"/>
    </font>
    <font>
      <b/>
      <sz val="12"/>
      <color indexed="81"/>
      <name val="Tahoma"/>
      <family val="2"/>
      <charset val="238"/>
    </font>
    <font>
      <sz val="9"/>
      <color indexed="81"/>
      <name val="Tahoma"/>
      <family val="2"/>
      <charset val="238"/>
    </font>
    <font>
      <i/>
      <sz val="10"/>
      <color indexed="81"/>
      <name val="Tahoma"/>
      <family val="2"/>
      <charset val="238"/>
    </font>
    <font>
      <i/>
      <sz val="11"/>
      <color indexed="81"/>
      <name val="Tahoma"/>
      <family val="2"/>
      <charset val="238"/>
    </font>
    <font>
      <b/>
      <sz val="9"/>
      <color indexed="81"/>
      <name val="Tahoma"/>
      <charset val="1"/>
    </font>
    <font>
      <b/>
      <sz val="10"/>
      <color indexed="81"/>
      <name val="Tahoma"/>
      <family val="2"/>
      <charset val="238"/>
    </font>
    <font>
      <sz val="12"/>
      <name val="Arial"/>
      <family val="2"/>
      <charset val="238"/>
    </font>
    <font>
      <sz val="11"/>
      <color theme="7" tint="0.79998168889431442"/>
      <name val="Arial"/>
      <family val="2"/>
      <charset val="238"/>
    </font>
  </fonts>
  <fills count="3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8CBAD"/>
        <bgColor rgb="FF000000"/>
      </patternFill>
    </fill>
    <fill>
      <patternFill patternType="solid">
        <fgColor rgb="FFD0CECE"/>
        <bgColor rgb="FF000000"/>
      </patternFill>
    </fill>
    <fill>
      <patternFill patternType="solid">
        <fgColor rgb="FF92D050"/>
        <bgColor rgb="FF000000"/>
      </patternFill>
    </fill>
    <fill>
      <patternFill patternType="solid">
        <fgColor rgb="FFBDD7EE"/>
        <bgColor rgb="FF000000"/>
      </patternFill>
    </fill>
    <fill>
      <patternFill patternType="solid">
        <fgColor rgb="FFA9D08E"/>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AD2DC"/>
        <bgColor indexed="64"/>
      </patternFill>
    </fill>
    <fill>
      <patternFill patternType="solid">
        <fgColor rgb="FFFFFFCC"/>
        <bgColor indexed="64"/>
      </patternFill>
    </fill>
    <fill>
      <patternFill patternType="solid">
        <fgColor rgb="FFD0CECE"/>
        <bgColor indexed="64"/>
      </patternFill>
    </fill>
    <fill>
      <patternFill patternType="solid">
        <fgColor rgb="FFE7E6E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6BBEB"/>
        <bgColor indexed="64"/>
      </patternFill>
    </fill>
    <fill>
      <patternFill patternType="solid">
        <fgColor rgb="FFFF9393"/>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3F3F3"/>
        <bgColor indexed="64"/>
      </patternFill>
    </fill>
    <fill>
      <patternFill patternType="solid">
        <fgColor rgb="FFECECEC"/>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5" fillId="0" borderId="0" applyNumberFormat="0" applyFill="0" applyBorder="0" applyAlignment="0" applyProtection="0"/>
    <xf numFmtId="0" fontId="6" fillId="0" borderId="0"/>
    <xf numFmtId="0" fontId="7" fillId="0" borderId="0"/>
    <xf numFmtId="0" fontId="8" fillId="0" borderId="0"/>
  </cellStyleXfs>
  <cellXfs count="796">
    <xf numFmtId="0" fontId="0" fillId="0" borderId="0" xfId="0"/>
    <xf numFmtId="3" fontId="10" fillId="0" borderId="1" xfId="0" applyNumberFormat="1" applyFont="1" applyBorder="1" applyAlignment="1" applyProtection="1">
      <alignment horizontal="right" vertical="center"/>
      <protection locked="0"/>
    </xf>
    <xf numFmtId="3" fontId="10"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center" vertical="center"/>
      <protection locked="0"/>
    </xf>
    <xf numFmtId="3" fontId="10" fillId="0" borderId="1" xfId="0" applyNumberFormat="1" applyFont="1" applyBorder="1" applyAlignment="1" applyProtection="1">
      <alignment horizontal="right" vertical="center" wrapText="1"/>
      <protection locked="0"/>
    </xf>
    <xf numFmtId="0" fontId="10" fillId="0" borderId="0" xfId="0" applyFont="1" applyAlignment="1">
      <alignment vertical="center"/>
    </xf>
    <xf numFmtId="2" fontId="10" fillId="4" borderId="1" xfId="0" applyNumberFormat="1" applyFont="1" applyFill="1" applyBorder="1" applyAlignment="1">
      <alignment horizontal="center" vertical="center"/>
    </xf>
    <xf numFmtId="2" fontId="10" fillId="4" borderId="13"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0" fillId="0" borderId="4" xfId="0" applyFont="1" applyBorder="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10" fillId="0" borderId="0" xfId="0" applyFont="1" applyAlignment="1">
      <alignment horizontal="center" vertical="center" wrapText="1"/>
    </xf>
    <xf numFmtId="0" fontId="11" fillId="4" borderId="12"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applyAlignment="1">
      <alignment horizontal="center" vertical="center"/>
    </xf>
    <xf numFmtId="0" fontId="15" fillId="2" borderId="9" xfId="0" applyFont="1" applyFill="1" applyBorder="1" applyAlignment="1">
      <alignment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0" fillId="0" borderId="16" xfId="0" applyFont="1" applyBorder="1" applyAlignment="1">
      <alignment horizontal="center" vertical="center"/>
    </xf>
    <xf numFmtId="0" fontId="10" fillId="2" borderId="4"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4" borderId="12"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2" fillId="0" borderId="0" xfId="0" applyFont="1" applyAlignment="1">
      <alignment horizontal="center" vertical="center"/>
    </xf>
    <xf numFmtId="0" fontId="12" fillId="2" borderId="13" xfId="0" applyFont="1" applyFill="1" applyBorder="1" applyAlignment="1">
      <alignment horizontal="center" vertical="center"/>
    </xf>
    <xf numFmtId="14" fontId="11"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wrapText="1"/>
    </xf>
    <xf numFmtId="0" fontId="10" fillId="2" borderId="1" xfId="0" applyFont="1" applyFill="1" applyBorder="1" applyAlignment="1">
      <alignment horizontal="center" vertical="center"/>
    </xf>
    <xf numFmtId="0" fontId="10" fillId="4" borderId="56" xfId="0" applyFont="1" applyFill="1" applyBorder="1" applyAlignment="1">
      <alignment vertical="center" wrapText="1"/>
    </xf>
    <xf numFmtId="0" fontId="10" fillId="4" borderId="61" xfId="0" applyFont="1" applyFill="1" applyBorder="1" applyAlignment="1">
      <alignment horizontal="center" vertical="center" wrapText="1"/>
    </xf>
    <xf numFmtId="0" fontId="11" fillId="4" borderId="61" xfId="0" applyFont="1" applyFill="1" applyBorder="1" applyAlignment="1">
      <alignment horizontal="center" vertical="center"/>
    </xf>
    <xf numFmtId="0" fontId="10" fillId="4" borderId="61" xfId="0" applyFont="1" applyFill="1" applyBorder="1" applyAlignment="1">
      <alignment horizontal="center" vertical="center"/>
    </xf>
    <xf numFmtId="3" fontId="10" fillId="0" borderId="13" xfId="0" applyNumberFormat="1" applyFont="1" applyBorder="1" applyAlignment="1" applyProtection="1">
      <alignment horizontal="right" vertical="center" wrapText="1"/>
      <protection locked="0"/>
    </xf>
    <xf numFmtId="0" fontId="29" fillId="0" borderId="0" xfId="0" applyFont="1" applyAlignment="1">
      <alignment vertical="center"/>
    </xf>
    <xf numFmtId="0" fontId="11" fillId="4" borderId="12"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2" fillId="0" borderId="0" xfId="0" applyFont="1" applyAlignment="1">
      <alignment vertical="center" wrapText="1"/>
    </xf>
    <xf numFmtId="0" fontId="24" fillId="0" borderId="0" xfId="0" applyFont="1" applyAlignment="1">
      <alignment horizontal="left" vertical="center" indent="2"/>
    </xf>
    <xf numFmtId="3" fontId="10" fillId="0" borderId="1" xfId="0" applyNumberFormat="1" applyFont="1" applyBorder="1" applyAlignment="1">
      <alignment horizontal="right" vertical="center"/>
    </xf>
    <xf numFmtId="3" fontId="10" fillId="0" borderId="13" xfId="0" applyNumberFormat="1" applyFont="1" applyBorder="1" applyAlignment="1">
      <alignment horizontal="right" vertical="center"/>
    </xf>
    <xf numFmtId="3" fontId="11" fillId="0" borderId="1" xfId="0" applyNumberFormat="1" applyFont="1" applyBorder="1" applyAlignment="1">
      <alignment horizontal="right" vertical="center"/>
    </xf>
    <xf numFmtId="3" fontId="11" fillId="0" borderId="13" xfId="0" applyNumberFormat="1" applyFont="1" applyBorder="1" applyAlignment="1">
      <alignment horizontal="right" vertical="center"/>
    </xf>
    <xf numFmtId="3" fontId="11" fillId="0" borderId="59" xfId="0" applyNumberFormat="1" applyFont="1" applyBorder="1" applyAlignment="1">
      <alignment horizontal="right" vertical="center"/>
    </xf>
    <xf numFmtId="0" fontId="0" fillId="0" borderId="13" xfId="0" applyBorder="1"/>
    <xf numFmtId="0" fontId="21" fillId="0" borderId="45" xfId="0" applyFont="1" applyBorder="1" applyAlignment="1">
      <alignment horizontal="left" vertical="center" indent="2"/>
    </xf>
    <xf numFmtId="0" fontId="15" fillId="0" borderId="0" xfId="0" applyFont="1"/>
    <xf numFmtId="0" fontId="4" fillId="0" borderId="0" xfId="0" applyFont="1" applyAlignment="1">
      <alignment horizontal="center"/>
    </xf>
    <xf numFmtId="0" fontId="12" fillId="0" borderId="0" xfId="0" applyFont="1"/>
    <xf numFmtId="0" fontId="4" fillId="0" borderId="0" xfId="0" applyFont="1"/>
    <xf numFmtId="0" fontId="18" fillId="0" borderId="1" xfId="0" applyFont="1" applyBorder="1"/>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19" fillId="0" borderId="1" xfId="0" applyFont="1" applyBorder="1" applyAlignment="1">
      <alignment vertical="center"/>
    </xf>
    <xf numFmtId="0" fontId="8" fillId="0" borderId="0" xfId="0" applyFont="1"/>
    <xf numFmtId="0" fontId="0" fillId="0" borderId="16" xfId="0" applyBorder="1"/>
    <xf numFmtId="0" fontId="10" fillId="0" borderId="54" xfId="0" applyFont="1" applyBorder="1" applyAlignment="1">
      <alignment horizontal="center" vertical="center"/>
    </xf>
    <xf numFmtId="0" fontId="0" fillId="0" borderId="6" xfId="0" applyBorder="1"/>
    <xf numFmtId="0" fontId="0" fillId="0" borderId="57" xfId="0" applyBorder="1"/>
    <xf numFmtId="0" fontId="0" fillId="0" borderId="1" xfId="0" applyBorder="1"/>
    <xf numFmtId="0" fontId="0" fillId="4" borderId="12" xfId="0" applyFill="1" applyBorder="1"/>
    <xf numFmtId="0" fontId="0" fillId="4" borderId="1" xfId="0" applyFill="1" applyBorder="1"/>
    <xf numFmtId="0" fontId="0" fillId="4" borderId="13" xfId="0" applyFill="1" applyBorder="1"/>
    <xf numFmtId="0" fontId="0" fillId="4" borderId="14" xfId="0" applyFill="1" applyBorder="1" applyAlignment="1">
      <alignment horizontal="right"/>
    </xf>
    <xf numFmtId="0" fontId="0" fillId="4" borderId="15" xfId="0" applyFill="1" applyBorder="1" applyAlignment="1">
      <alignment horizontal="right"/>
    </xf>
    <xf numFmtId="0" fontId="0" fillId="0" borderId="58" xfId="0" applyBorder="1"/>
    <xf numFmtId="0" fontId="5" fillId="0" borderId="6" xfId="1" applyBorder="1" applyAlignment="1" applyProtection="1">
      <alignment horizontal="center" vertical="center" wrapText="1"/>
    </xf>
    <xf numFmtId="0" fontId="13" fillId="17" borderId="6" xfId="1" applyFont="1" applyFill="1" applyBorder="1" applyAlignment="1" applyProtection="1">
      <alignment horizontal="center" vertical="center" wrapText="1"/>
    </xf>
    <xf numFmtId="0" fontId="5" fillId="17" borderId="40" xfId="1" applyFill="1" applyBorder="1" applyAlignment="1" applyProtection="1">
      <alignment horizontal="center" vertical="center" wrapText="1"/>
    </xf>
    <xf numFmtId="0" fontId="5" fillId="0" borderId="6" xfId="1" applyFill="1" applyBorder="1" applyAlignment="1" applyProtection="1">
      <alignment horizontal="center" vertical="center" wrapText="1"/>
    </xf>
    <xf numFmtId="0" fontId="5" fillId="0" borderId="57" xfId="1" applyFill="1" applyBorder="1" applyAlignment="1" applyProtection="1">
      <alignment horizontal="center" vertical="center" wrapText="1"/>
    </xf>
    <xf numFmtId="0" fontId="17" fillId="0" borderId="9" xfId="1" applyFont="1" applyBorder="1" applyAlignment="1" applyProtection="1">
      <alignment horizontal="center" vertical="center" wrapText="1"/>
    </xf>
    <xf numFmtId="0" fontId="5" fillId="0" borderId="11" xfId="1" applyBorder="1" applyAlignment="1" applyProtection="1">
      <alignment horizontal="center" vertical="center" wrapText="1"/>
    </xf>
    <xf numFmtId="0" fontId="32" fillId="0" borderId="0" xfId="0" applyFont="1" applyAlignment="1">
      <alignment vertical="top"/>
    </xf>
    <xf numFmtId="0" fontId="29" fillId="0" borderId="0" xfId="0" applyFont="1" applyAlignment="1">
      <alignment horizontal="left"/>
    </xf>
    <xf numFmtId="0" fontId="23" fillId="0" borderId="0" xfId="0" applyFont="1" applyAlignment="1">
      <alignment horizontal="left" vertical="center" indent="2"/>
    </xf>
    <xf numFmtId="14" fontId="23" fillId="0" borderId="0" xfId="0" applyNumberFormat="1" applyFont="1" applyAlignment="1">
      <alignment horizontal="left" vertical="center" indent="2"/>
    </xf>
    <xf numFmtId="0" fontId="21" fillId="0" borderId="0" xfId="0" applyFont="1" applyAlignment="1">
      <alignment horizontal="left" vertical="center" indent="2"/>
    </xf>
    <xf numFmtId="0" fontId="23" fillId="0" borderId="0" xfId="0" applyFont="1" applyAlignment="1">
      <alignment horizontal="left" vertical="center" wrapText="1" indent="2"/>
    </xf>
    <xf numFmtId="0" fontId="23" fillId="0" borderId="0" xfId="0" applyFont="1" applyAlignment="1">
      <alignment vertical="center" wrapText="1"/>
    </xf>
    <xf numFmtId="0" fontId="1" fillId="18" borderId="0" xfId="0" applyFont="1" applyFill="1" applyAlignment="1">
      <alignment vertical="center" wrapText="1"/>
    </xf>
    <xf numFmtId="0" fontId="0" fillId="0" borderId="47" xfId="0" applyBorder="1"/>
    <xf numFmtId="0" fontId="0" fillId="0" borderId="62" xfId="0" applyBorder="1"/>
    <xf numFmtId="0" fontId="0" fillId="0" borderId="67" xfId="0" applyBorder="1"/>
    <xf numFmtId="0" fontId="0" fillId="0" borderId="66" xfId="0" applyBorder="1"/>
    <xf numFmtId="0" fontId="0" fillId="0" borderId="69" xfId="0" applyBorder="1" applyAlignment="1">
      <alignment horizontal="right"/>
    </xf>
    <xf numFmtId="0" fontId="0" fillId="0" borderId="45" xfId="0" applyBorder="1"/>
    <xf numFmtId="0" fontId="0" fillId="0" borderId="64" xfId="0" applyBorder="1"/>
    <xf numFmtId="0" fontId="0" fillId="0" borderId="51" xfId="0" applyBorder="1"/>
    <xf numFmtId="0" fontId="0" fillId="0" borderId="44" xfId="0" applyBorder="1"/>
    <xf numFmtId="0" fontId="0" fillId="15" borderId="47" xfId="0" applyFill="1" applyBorder="1"/>
    <xf numFmtId="0" fontId="0" fillId="15" borderId="62" xfId="0" applyFill="1" applyBorder="1"/>
    <xf numFmtId="0" fontId="37" fillId="0" borderId="66" xfId="0" applyFont="1" applyBorder="1"/>
    <xf numFmtId="0" fontId="0" fillId="0" borderId="26" xfId="0" applyBorder="1"/>
    <xf numFmtId="0" fontId="0" fillId="0" borderId="69" xfId="0" applyBorder="1"/>
    <xf numFmtId="0" fontId="37" fillId="0" borderId="45" xfId="0" applyFont="1" applyBorder="1"/>
    <xf numFmtId="0" fontId="0" fillId="4" borderId="45" xfId="0" applyFill="1" applyBorder="1"/>
    <xf numFmtId="0" fontId="0" fillId="4" borderId="0" xfId="0" applyFill="1"/>
    <xf numFmtId="0" fontId="0" fillId="4" borderId="51" xfId="0" applyFill="1" applyBorder="1"/>
    <xf numFmtId="0" fontId="0" fillId="4" borderId="36" xfId="0" applyFill="1" applyBorder="1"/>
    <xf numFmtId="0" fontId="0" fillId="20" borderId="44" xfId="0" applyFill="1" applyBorder="1"/>
    <xf numFmtId="0" fontId="0" fillId="0" borderId="64" xfId="0" applyBorder="1" applyAlignment="1">
      <alignment horizontal="center" vertical="center"/>
    </xf>
    <xf numFmtId="0" fontId="11" fillId="0" borderId="66" xfId="0" applyFont="1" applyBorder="1" applyAlignment="1">
      <alignment horizontal="center" vertical="center"/>
    </xf>
    <xf numFmtId="0" fontId="11" fillId="0" borderId="26" xfId="0" applyFont="1" applyBorder="1" applyAlignment="1">
      <alignment horizontal="center" vertical="center"/>
    </xf>
    <xf numFmtId="0" fontId="11" fillId="16" borderId="45" xfId="0" applyFont="1" applyFill="1" applyBorder="1" applyAlignment="1">
      <alignment horizontal="center" vertical="center"/>
    </xf>
    <xf numFmtId="0" fontId="0" fillId="16" borderId="0" xfId="0" applyFill="1"/>
    <xf numFmtId="0" fontId="11" fillId="16" borderId="0" xfId="0" applyFont="1" applyFill="1" applyAlignment="1">
      <alignment horizontal="center" vertical="center"/>
    </xf>
    <xf numFmtId="14" fontId="11" fillId="0" borderId="45" xfId="0" applyNumberFormat="1" applyFont="1" applyBorder="1" applyAlignment="1">
      <alignment horizontal="center" vertical="center"/>
    </xf>
    <xf numFmtId="0" fontId="0" fillId="0" borderId="36" xfId="0" applyBorder="1"/>
    <xf numFmtId="0" fontId="0" fillId="0" borderId="69" xfId="0" applyBorder="1" applyAlignment="1">
      <alignment horizontal="center" vertical="center"/>
    </xf>
    <xf numFmtId="0" fontId="11" fillId="16" borderId="64" xfId="0" applyFont="1" applyFill="1" applyBorder="1" applyAlignment="1">
      <alignment horizontal="center" vertical="center"/>
    </xf>
    <xf numFmtId="0" fontId="11" fillId="0" borderId="64" xfId="0" applyFont="1" applyBorder="1" applyAlignment="1">
      <alignment vertical="center"/>
    </xf>
    <xf numFmtId="0" fontId="11" fillId="0" borderId="45" xfId="0" applyFont="1" applyBorder="1" applyAlignment="1">
      <alignment vertical="center"/>
    </xf>
    <xf numFmtId="0" fontId="11" fillId="16" borderId="45" xfId="0" applyFont="1" applyFill="1" applyBorder="1" applyAlignment="1">
      <alignment vertical="center"/>
    </xf>
    <xf numFmtId="14" fontId="11" fillId="0" borderId="64" xfId="0" applyNumberFormat="1" applyFont="1" applyBorder="1" applyAlignment="1">
      <alignment vertical="center"/>
    </xf>
    <xf numFmtId="0" fontId="12" fillId="7" borderId="70" xfId="0" applyFont="1" applyFill="1" applyBorder="1" applyAlignment="1">
      <alignment vertical="center" wrapText="1"/>
    </xf>
    <xf numFmtId="0" fontId="12" fillId="7" borderId="58" xfId="0" applyFont="1" applyFill="1" applyBorder="1" applyAlignment="1">
      <alignment vertical="center" wrapText="1"/>
    </xf>
    <xf numFmtId="3" fontId="10" fillId="0" borderId="6" xfId="0" applyNumberFormat="1" applyFont="1" applyBorder="1" applyAlignment="1" applyProtection="1">
      <alignment horizontal="right" vertical="center" wrapText="1"/>
      <protection locked="0"/>
    </xf>
    <xf numFmtId="3" fontId="10" fillId="0" borderId="57" xfId="0" applyNumberFormat="1" applyFont="1" applyBorder="1" applyAlignment="1" applyProtection="1">
      <alignment horizontal="right" vertical="center" wrapText="1"/>
      <protection locked="0"/>
    </xf>
    <xf numFmtId="0" fontId="12" fillId="2" borderId="34" xfId="0" applyFont="1" applyFill="1" applyBorder="1" applyAlignment="1">
      <alignment horizontal="center"/>
    </xf>
    <xf numFmtId="0" fontId="12" fillId="2" borderId="71" xfId="0" applyFont="1" applyFill="1" applyBorder="1" applyAlignment="1">
      <alignment horizontal="center"/>
    </xf>
    <xf numFmtId="0" fontId="12" fillId="2" borderId="40" xfId="0" applyFont="1" applyFill="1" applyBorder="1" applyAlignment="1">
      <alignment horizontal="center" vertical="top"/>
    </xf>
    <xf numFmtId="0" fontId="12" fillId="2" borderId="57" xfId="0" applyFont="1" applyFill="1" applyBorder="1" applyAlignment="1">
      <alignment horizontal="center" vertical="top"/>
    </xf>
    <xf numFmtId="0" fontId="29" fillId="18" borderId="0" xfId="0" applyFont="1" applyFill="1" applyAlignment="1">
      <alignment horizontal="left" vertical="center"/>
    </xf>
    <xf numFmtId="0" fontId="5" fillId="15" borderId="1" xfId="1" applyFill="1" applyBorder="1" applyAlignment="1" applyProtection="1">
      <alignment horizontal="center" vertical="center"/>
      <protection locked="0"/>
    </xf>
    <xf numFmtId="0" fontId="5" fillId="15" borderId="1" xfId="1" applyFill="1" applyBorder="1" applyAlignment="1" applyProtection="1">
      <alignment horizontal="center" vertical="center" wrapText="1"/>
      <protection locked="0"/>
    </xf>
    <xf numFmtId="0" fontId="10" fillId="0" borderId="12" xfId="0" applyFont="1" applyBorder="1" applyAlignment="1">
      <alignment horizontal="left" vertical="center"/>
    </xf>
    <xf numFmtId="0" fontId="12" fillId="2" borderId="6" xfId="0" applyFont="1" applyFill="1" applyBorder="1" applyAlignment="1">
      <alignment horizontal="center" vertical="top"/>
    </xf>
    <xf numFmtId="0" fontId="12" fillId="2" borderId="29" xfId="0" applyFont="1" applyFill="1" applyBorder="1" applyAlignment="1">
      <alignment horizontal="center"/>
    </xf>
    <xf numFmtId="0" fontId="37" fillId="26" borderId="0" xfId="0" applyFont="1" applyFill="1"/>
    <xf numFmtId="0" fontId="0" fillId="26" borderId="0" xfId="0" applyFill="1"/>
    <xf numFmtId="0" fontId="12" fillId="21" borderId="64" xfId="0" applyFont="1" applyFill="1" applyBorder="1" applyAlignment="1">
      <alignment horizontal="center" vertical="top"/>
    </xf>
    <xf numFmtId="0" fontId="32" fillId="0" borderId="0" xfId="0" applyFont="1" applyAlignment="1">
      <alignment vertical="center"/>
    </xf>
    <xf numFmtId="0" fontId="25" fillId="0" borderId="0" xfId="0" applyFont="1" applyAlignment="1">
      <alignment vertical="center"/>
    </xf>
    <xf numFmtId="0" fontId="30" fillId="0" borderId="13" xfId="0" applyFont="1" applyBorder="1" applyAlignment="1">
      <alignment horizontal="left"/>
    </xf>
    <xf numFmtId="0" fontId="29" fillId="0" borderId="0" xfId="0" applyFont="1" applyAlignment="1">
      <alignment horizontal="left" vertical="center" indent="1"/>
    </xf>
    <xf numFmtId="0" fontId="12" fillId="2" borderId="53" xfId="0" applyFont="1" applyFill="1" applyBorder="1" applyAlignment="1">
      <alignment vertical="center" wrapText="1"/>
    </xf>
    <xf numFmtId="0" fontId="12" fillId="2" borderId="46" xfId="0" applyFont="1" applyFill="1" applyBorder="1" applyAlignment="1">
      <alignment vertical="center" wrapText="1"/>
    </xf>
    <xf numFmtId="0" fontId="12" fillId="2" borderId="42" xfId="0" applyFont="1" applyFill="1" applyBorder="1" applyAlignment="1">
      <alignment vertical="center" wrapText="1"/>
    </xf>
    <xf numFmtId="0" fontId="11" fillId="16" borderId="1" xfId="0" applyFont="1" applyFill="1" applyBorder="1" applyAlignment="1">
      <alignment vertical="center"/>
    </xf>
    <xf numFmtId="0" fontId="11" fillId="0" borderId="1" xfId="0" applyFont="1" applyBorder="1" applyAlignment="1">
      <alignment horizontal="left" vertical="center"/>
    </xf>
    <xf numFmtId="0" fontId="30" fillId="4" borderId="1" xfId="0" applyFont="1" applyFill="1" applyBorder="1"/>
    <xf numFmtId="0" fontId="30" fillId="16" borderId="1" xfId="0" applyFont="1" applyFill="1" applyBorder="1"/>
    <xf numFmtId="0" fontId="43" fillId="0" borderId="0" xfId="0" applyFont="1" applyAlignment="1">
      <alignment vertical="center"/>
    </xf>
    <xf numFmtId="0" fontId="30" fillId="0" borderId="0" xfId="0" applyFont="1"/>
    <xf numFmtId="0" fontId="22" fillId="0" borderId="0" xfId="0" applyFont="1"/>
    <xf numFmtId="0" fontId="29" fillId="0" borderId="0" xfId="0" applyFont="1" applyAlignment="1">
      <alignment horizontal="left" vertical="center" indent="2"/>
    </xf>
    <xf numFmtId="0" fontId="44" fillId="0" borderId="0" xfId="0" applyFont="1"/>
    <xf numFmtId="0" fontId="10" fillId="13" borderId="0" xfId="0" applyFont="1" applyFill="1" applyAlignment="1">
      <alignment horizontal="center" vertical="center"/>
    </xf>
    <xf numFmtId="0" fontId="10" fillId="13" borderId="0" xfId="0" applyFont="1" applyFill="1" applyAlignment="1">
      <alignment vertical="center" wrapText="1"/>
    </xf>
    <xf numFmtId="0" fontId="10" fillId="13" borderId="0" xfId="0" applyFont="1" applyFill="1" applyAlignment="1">
      <alignment vertical="center"/>
    </xf>
    <xf numFmtId="0" fontId="11" fillId="13" borderId="0" xfId="0" applyFont="1" applyFill="1" applyAlignment="1">
      <alignment vertical="center" wrapText="1"/>
    </xf>
    <xf numFmtId="0" fontId="11" fillId="13" borderId="0" xfId="0" applyFont="1" applyFill="1" applyAlignment="1">
      <alignment vertical="center"/>
    </xf>
    <xf numFmtId="0" fontId="0" fillId="0" borderId="0" xfId="0" applyAlignment="1">
      <alignment horizontal="center"/>
    </xf>
    <xf numFmtId="0" fontId="12" fillId="7" borderId="1" xfId="0" applyFont="1" applyFill="1" applyBorder="1" applyAlignment="1">
      <alignment horizontal="center" vertical="center" wrapText="1"/>
    </xf>
    <xf numFmtId="0" fontId="14" fillId="13" borderId="0" xfId="0" applyFont="1" applyFill="1" applyAlignment="1">
      <alignment horizontal="center" vertical="center"/>
    </xf>
    <xf numFmtId="0" fontId="29" fillId="0" borderId="0" xfId="0" applyFont="1" applyAlignment="1">
      <alignment horizontal="left" vertical="center"/>
    </xf>
    <xf numFmtId="0" fontId="15" fillId="5" borderId="20" xfId="0" applyFont="1" applyFill="1" applyBorder="1" applyAlignment="1">
      <alignment vertical="center"/>
    </xf>
    <xf numFmtId="0" fontId="15" fillId="5" borderId="4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12" fillId="0" borderId="0" xfId="0" applyFont="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3" fontId="12" fillId="6" borderId="24" xfId="0" applyNumberFormat="1" applyFont="1" applyFill="1" applyBorder="1" applyAlignment="1">
      <alignment horizontal="right" vertical="center"/>
    </xf>
    <xf numFmtId="3" fontId="12" fillId="6" borderId="15" xfId="0" applyNumberFormat="1" applyFont="1" applyFill="1" applyBorder="1" applyAlignment="1">
      <alignment horizontal="right" vertical="center"/>
    </xf>
    <xf numFmtId="3" fontId="12" fillId="6" borderId="16" xfId="0" applyNumberFormat="1" applyFont="1" applyFill="1" applyBorder="1" applyAlignment="1">
      <alignment horizontal="right" vertical="center"/>
    </xf>
    <xf numFmtId="0" fontId="0" fillId="7" borderId="1" xfId="0" applyFill="1" applyBorder="1" applyAlignment="1">
      <alignment horizontal="center"/>
    </xf>
    <xf numFmtId="0" fontId="15" fillId="5" borderId="1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22" borderId="53" xfId="0" applyFont="1" applyFill="1" applyBorder="1" applyAlignment="1">
      <alignment vertical="center" wrapText="1"/>
    </xf>
    <xf numFmtId="0" fontId="10" fillId="0" borderId="1" xfId="0" applyFont="1" applyBorder="1" applyAlignment="1">
      <alignment vertical="center"/>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3" fontId="12" fillId="6" borderId="55" xfId="0" applyNumberFormat="1" applyFont="1" applyFill="1" applyBorder="1" applyAlignment="1">
      <alignment horizontal="right" vertical="center"/>
    </xf>
    <xf numFmtId="3" fontId="12" fillId="6" borderId="22" xfId="0" applyNumberFormat="1" applyFont="1" applyFill="1" applyBorder="1" applyAlignment="1">
      <alignment horizontal="right" vertical="center"/>
    </xf>
    <xf numFmtId="3" fontId="12" fillId="6" borderId="54" xfId="0" applyNumberFormat="1" applyFont="1" applyFill="1" applyBorder="1" applyAlignment="1">
      <alignment horizontal="right" vertical="center"/>
    </xf>
    <xf numFmtId="0" fontId="10" fillId="14" borderId="0" xfId="0" applyFont="1" applyFill="1" applyAlignment="1">
      <alignment horizontal="center" vertical="center"/>
    </xf>
    <xf numFmtId="0" fontId="10" fillId="14" borderId="0" xfId="0" applyFont="1" applyFill="1" applyAlignment="1">
      <alignment vertical="center" wrapText="1"/>
    </xf>
    <xf numFmtId="0" fontId="10" fillId="14" borderId="0" xfId="0" applyFont="1" applyFill="1" applyAlignment="1">
      <alignment vertical="center"/>
    </xf>
    <xf numFmtId="0" fontId="11" fillId="14" borderId="0" xfId="0" applyFont="1" applyFill="1" applyAlignment="1">
      <alignment vertical="center" wrapText="1"/>
    </xf>
    <xf numFmtId="0" fontId="11" fillId="14" borderId="0" xfId="0" applyFont="1" applyFill="1" applyAlignment="1">
      <alignment vertical="center"/>
    </xf>
    <xf numFmtId="0" fontId="14" fillId="14" borderId="0" xfId="0" applyFont="1" applyFill="1" applyAlignment="1">
      <alignment horizontal="center" vertical="center"/>
    </xf>
    <xf numFmtId="0" fontId="15" fillId="5" borderId="42" xfId="0" applyFont="1" applyFill="1" applyBorder="1" applyAlignment="1">
      <alignment horizontal="center" vertical="center" wrapText="1"/>
    </xf>
    <xf numFmtId="0" fontId="42" fillId="0" borderId="0" xfId="0" applyFont="1"/>
    <xf numFmtId="0" fontId="30" fillId="0" borderId="1" xfId="0" applyFont="1" applyBorder="1"/>
    <xf numFmtId="0" fontId="30" fillId="0" borderId="0" xfId="0" applyFont="1" applyAlignment="1">
      <alignment horizontal="center"/>
    </xf>
    <xf numFmtId="3" fontId="12" fillId="6" borderId="37" xfId="0" applyNumberFormat="1" applyFont="1" applyFill="1" applyBorder="1" applyAlignment="1">
      <alignment horizontal="right" vertical="center"/>
    </xf>
    <xf numFmtId="0" fontId="0" fillId="7" borderId="6" xfId="0" applyFill="1" applyBorder="1" applyAlignment="1">
      <alignment horizontal="center" vertical="center"/>
    </xf>
    <xf numFmtId="0" fontId="10" fillId="19" borderId="0" xfId="0" applyFont="1" applyFill="1" applyAlignment="1">
      <alignment horizontal="center" vertical="center"/>
    </xf>
    <xf numFmtId="0" fontId="10" fillId="19" borderId="0" xfId="0" applyFont="1" applyFill="1" applyAlignment="1">
      <alignment vertical="center" wrapText="1"/>
    </xf>
    <xf numFmtId="0" fontId="10" fillId="19" borderId="0" xfId="0" applyFont="1" applyFill="1" applyAlignment="1">
      <alignment vertical="center"/>
    </xf>
    <xf numFmtId="0" fontId="11" fillId="19" borderId="0" xfId="0" applyFont="1" applyFill="1" applyAlignment="1">
      <alignment vertical="center" wrapText="1"/>
    </xf>
    <xf numFmtId="0" fontId="11" fillId="19" borderId="0" xfId="0" applyFont="1" applyFill="1" applyAlignment="1">
      <alignment vertical="center"/>
    </xf>
    <xf numFmtId="0" fontId="14" fillId="10" borderId="1" xfId="0" applyFont="1" applyFill="1" applyBorder="1" applyAlignment="1">
      <alignment vertical="center" wrapText="1"/>
    </xf>
    <xf numFmtId="0" fontId="14" fillId="19" borderId="0" xfId="0" applyFont="1" applyFill="1" applyAlignment="1">
      <alignment horizontal="center" vertical="center"/>
    </xf>
    <xf numFmtId="0" fontId="15" fillId="11" borderId="20" xfId="0" applyFont="1" applyFill="1" applyBorder="1" applyAlignment="1">
      <alignment vertical="center"/>
    </xf>
    <xf numFmtId="0" fontId="15" fillId="11" borderId="17"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5" fillId="8" borderId="41"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37" fillId="0" borderId="0" xfId="0" applyFont="1"/>
    <xf numFmtId="0" fontId="0" fillId="0" borderId="0" xfId="0" applyAlignment="1">
      <alignment horizontal="center" vertical="center"/>
    </xf>
    <xf numFmtId="0" fontId="0" fillId="7" borderId="1" xfId="0" applyFill="1" applyBorder="1" applyAlignment="1">
      <alignment horizontal="center" vertical="center"/>
    </xf>
    <xf numFmtId="0" fontId="0" fillId="14" borderId="1" xfId="0" applyFill="1" applyBorder="1" applyAlignment="1">
      <alignment horizontal="center"/>
    </xf>
    <xf numFmtId="0" fontId="0" fillId="14" borderId="38" xfId="0" applyFill="1" applyBorder="1" applyAlignment="1">
      <alignment horizontal="center"/>
    </xf>
    <xf numFmtId="0" fontId="0" fillId="27" borderId="1" xfId="0" applyFill="1" applyBorder="1" applyAlignment="1">
      <alignment horizontal="center"/>
    </xf>
    <xf numFmtId="0" fontId="20" fillId="19" borderId="0" xfId="0" applyFont="1" applyFill="1" applyAlignment="1">
      <alignment vertical="center" wrapText="1"/>
    </xf>
    <xf numFmtId="0" fontId="20" fillId="19" borderId="0" xfId="0" applyFont="1" applyFill="1" applyAlignment="1">
      <alignment vertical="center"/>
    </xf>
    <xf numFmtId="0" fontId="30" fillId="13" borderId="1" xfId="0" applyFont="1" applyFill="1" applyBorder="1"/>
    <xf numFmtId="0" fontId="10" fillId="13" borderId="1" xfId="0" applyFont="1" applyFill="1" applyBorder="1" applyAlignment="1">
      <alignment vertical="center"/>
    </xf>
    <xf numFmtId="0" fontId="20" fillId="22" borderId="72" xfId="0" applyFont="1" applyFill="1" applyBorder="1" applyAlignment="1">
      <alignment vertical="center" wrapText="1"/>
    </xf>
    <xf numFmtId="0" fontId="20" fillId="22" borderId="53" xfId="0" applyFont="1" applyFill="1" applyBorder="1" applyAlignment="1">
      <alignment vertical="center" wrapText="1"/>
    </xf>
    <xf numFmtId="0" fontId="0" fillId="17" borderId="1" xfId="0" applyFill="1" applyBorder="1"/>
    <xf numFmtId="0" fontId="0" fillId="16" borderId="1" xfId="0" applyFill="1" applyBorder="1"/>
    <xf numFmtId="0" fontId="25" fillId="0" borderId="0" xfId="0" applyFont="1" applyAlignment="1">
      <alignment vertical="center" wrapText="1"/>
    </xf>
    <xf numFmtId="0" fontId="0" fillId="16" borderId="1" xfId="0" applyFill="1" applyBorder="1" applyAlignment="1">
      <alignment horizontal="center" vertical="center"/>
    </xf>
    <xf numFmtId="0" fontId="10" fillId="16" borderId="1" xfId="0" applyFont="1" applyFill="1" applyBorder="1" applyAlignment="1">
      <alignment vertical="center"/>
    </xf>
    <xf numFmtId="0" fontId="10" fillId="0" borderId="0" xfId="0" applyFont="1" applyAlignment="1">
      <alignment horizontal="left" vertical="center"/>
    </xf>
    <xf numFmtId="0" fontId="29" fillId="0" borderId="0" xfId="0" applyFont="1" applyAlignment="1">
      <alignment horizontal="left" vertical="top"/>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29" borderId="70" xfId="0" applyFill="1" applyBorder="1"/>
    <xf numFmtId="0" fontId="0" fillId="0" borderId="0" xfId="0" applyAlignment="1">
      <alignment horizontal="left"/>
    </xf>
    <xf numFmtId="0" fontId="37" fillId="4" borderId="1" xfId="0" applyFont="1" applyFill="1" applyBorder="1"/>
    <xf numFmtId="0" fontId="10" fillId="4" borderId="1" xfId="0" applyFont="1" applyFill="1" applyBorder="1" applyAlignment="1">
      <alignment horizontal="left" vertical="center"/>
    </xf>
    <xf numFmtId="0" fontId="0" fillId="29" borderId="67" xfId="0" applyFill="1" applyBorder="1" applyAlignment="1">
      <alignment horizontal="center" vertical="center"/>
    </xf>
    <xf numFmtId="0" fontId="10" fillId="16" borderId="1" xfId="0" applyFont="1" applyFill="1" applyBorder="1" applyAlignment="1">
      <alignment horizontal="center" vertical="center"/>
    </xf>
    <xf numFmtId="0" fontId="10" fillId="4" borderId="1" xfId="0" applyFont="1" applyFill="1" applyBorder="1" applyAlignment="1">
      <alignment vertical="center"/>
    </xf>
    <xf numFmtId="0" fontId="40" fillId="0" borderId="0" xfId="0" applyFont="1"/>
    <xf numFmtId="3" fontId="10" fillId="29" borderId="13" xfId="0" applyNumberFormat="1" applyFont="1" applyFill="1" applyBorder="1" applyAlignment="1">
      <alignment horizontal="right" vertical="center"/>
    </xf>
    <xf numFmtId="0" fontId="0" fillId="2" borderId="70" xfId="0" applyFill="1" applyBorder="1" applyAlignment="1">
      <alignment horizontal="center" vertical="center"/>
    </xf>
    <xf numFmtId="0" fontId="0" fillId="2" borderId="48" xfId="0" applyFill="1" applyBorder="1" applyAlignment="1">
      <alignment horizontal="center" vertical="center"/>
    </xf>
    <xf numFmtId="0" fontId="10" fillId="28" borderId="1" xfId="0" applyFont="1" applyFill="1" applyBorder="1" applyAlignment="1">
      <alignment horizontal="center" vertical="center"/>
    </xf>
    <xf numFmtId="0" fontId="22" fillId="0" borderId="0" xfId="0" applyFont="1" applyAlignment="1">
      <alignment horizontal="left" indent="1"/>
    </xf>
    <xf numFmtId="0" fontId="11" fillId="29" borderId="13" xfId="0" applyFont="1" applyFill="1" applyBorder="1" applyAlignment="1">
      <alignment horizontal="center" vertical="center" wrapText="1"/>
    </xf>
    <xf numFmtId="0" fontId="22" fillId="0" borderId="0" xfId="0" applyFont="1" applyAlignment="1">
      <alignment horizontal="left" vertical="center" indent="1"/>
    </xf>
    <xf numFmtId="0" fontId="46" fillId="0" borderId="0" xfId="0" applyFont="1" applyAlignment="1">
      <alignment vertical="center"/>
    </xf>
    <xf numFmtId="0" fontId="10" fillId="21" borderId="11" xfId="0" applyFont="1" applyFill="1" applyBorder="1" applyAlignment="1">
      <alignment horizontal="center" vertical="center" wrapText="1"/>
    </xf>
    <xf numFmtId="0" fontId="22" fillId="0" borderId="0" xfId="0" applyFont="1" applyAlignment="1">
      <alignment horizontal="left" vertical="top" indent="1"/>
    </xf>
    <xf numFmtId="0" fontId="46" fillId="14" borderId="4" xfId="0" applyFont="1" applyFill="1" applyBorder="1" applyAlignment="1">
      <alignment horizontal="center" vertical="center"/>
    </xf>
    <xf numFmtId="0" fontId="12" fillId="21" borderId="11" xfId="0" applyFont="1" applyFill="1" applyBorder="1" applyAlignment="1">
      <alignment horizontal="center" vertical="center"/>
    </xf>
    <xf numFmtId="0" fontId="15" fillId="21" borderId="9" xfId="0" applyFont="1" applyFill="1" applyBorder="1" applyAlignment="1">
      <alignment horizontal="center" vertical="center" wrapText="1"/>
    </xf>
    <xf numFmtId="0" fontId="15" fillId="21" borderId="11" xfId="0" applyFont="1" applyFill="1" applyBorder="1" applyAlignment="1">
      <alignment horizontal="center" vertical="center" wrapText="1"/>
    </xf>
    <xf numFmtId="3" fontId="10" fillId="30" borderId="1" xfId="0" applyNumberFormat="1" applyFont="1" applyFill="1" applyBorder="1" applyAlignment="1">
      <alignment horizontal="right" vertical="center"/>
    </xf>
    <xf numFmtId="3" fontId="10" fillId="30" borderId="13" xfId="0" applyNumberFormat="1" applyFont="1" applyFill="1" applyBorder="1" applyAlignment="1">
      <alignment horizontal="right" vertical="center"/>
    </xf>
    <xf numFmtId="3" fontId="11" fillId="30" borderId="12" xfId="0" applyNumberFormat="1" applyFont="1" applyFill="1" applyBorder="1" applyAlignment="1">
      <alignment vertical="center"/>
    </xf>
    <xf numFmtId="3" fontId="11" fillId="30" borderId="13" xfId="0" applyNumberFormat="1" applyFont="1" applyFill="1" applyBorder="1" applyAlignment="1">
      <alignment vertical="center"/>
    </xf>
    <xf numFmtId="2" fontId="12" fillId="4" borderId="1" xfId="0" applyNumberFormat="1" applyFont="1" applyFill="1" applyBorder="1" applyAlignment="1">
      <alignment horizontal="center" vertical="center"/>
    </xf>
    <xf numFmtId="2" fontId="12" fillId="4" borderId="13" xfId="0" applyNumberFormat="1" applyFont="1" applyFill="1" applyBorder="1" applyAlignment="1">
      <alignment horizontal="center" vertical="center"/>
    </xf>
    <xf numFmtId="2" fontId="15" fillId="22" borderId="12" xfId="0" applyNumberFormat="1" applyFont="1" applyFill="1" applyBorder="1" applyAlignment="1">
      <alignment horizontal="center" vertical="center"/>
    </xf>
    <xf numFmtId="2" fontId="15" fillId="22" borderId="13" xfId="0" applyNumberFormat="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5" fillId="22" borderId="14" xfId="0" applyFont="1" applyFill="1" applyBorder="1" applyAlignment="1">
      <alignment horizontal="center" vertical="center"/>
    </xf>
    <xf numFmtId="0" fontId="15" fillId="22" borderId="16" xfId="0" applyFont="1" applyFill="1" applyBorder="1" applyAlignment="1">
      <alignment horizontal="center" vertical="center"/>
    </xf>
    <xf numFmtId="0" fontId="15" fillId="22" borderId="12" xfId="0" applyFont="1" applyFill="1" applyBorder="1" applyAlignment="1">
      <alignment horizontal="center" vertical="center"/>
    </xf>
    <xf numFmtId="0" fontId="15" fillId="22" borderId="13" xfId="0" applyFont="1" applyFill="1" applyBorder="1" applyAlignment="1">
      <alignment horizontal="center" vertical="center"/>
    </xf>
    <xf numFmtId="0" fontId="10" fillId="0" borderId="58" xfId="0" applyFont="1" applyBorder="1" applyAlignment="1">
      <alignment horizontal="center" vertical="center"/>
    </xf>
    <xf numFmtId="0" fontId="29" fillId="0" borderId="0" xfId="0" applyFont="1" applyAlignment="1">
      <alignment vertical="center" wrapText="1"/>
    </xf>
    <xf numFmtId="0" fontId="29" fillId="0" borderId="0" xfId="0" applyFont="1" applyAlignment="1">
      <alignment vertical="top" wrapText="1"/>
    </xf>
    <xf numFmtId="0" fontId="10" fillId="0" borderId="17" xfId="0" applyFont="1" applyBorder="1" applyAlignment="1" applyProtection="1">
      <alignment vertical="center" wrapText="1"/>
      <protection locked="0"/>
    </xf>
    <xf numFmtId="3" fontId="10" fillId="0" borderId="20" xfId="0" applyNumberFormat="1" applyFont="1" applyBorder="1" applyAlignment="1" applyProtection="1">
      <alignment horizontal="right" vertical="center"/>
      <protection locked="0"/>
    </xf>
    <xf numFmtId="3" fontId="10" fillId="0" borderId="10" xfId="0" applyNumberFormat="1" applyFont="1" applyBorder="1" applyAlignment="1" applyProtection="1">
      <alignment horizontal="right" vertical="center"/>
      <protection locked="0"/>
    </xf>
    <xf numFmtId="3" fontId="11" fillId="0" borderId="10" xfId="0" applyNumberFormat="1" applyFont="1" applyBorder="1" applyAlignment="1" applyProtection="1">
      <alignment horizontal="right" vertical="center" wrapText="1"/>
      <protection locked="0"/>
    </xf>
    <xf numFmtId="0" fontId="10" fillId="0" borderId="12" xfId="0" applyFont="1" applyBorder="1" applyAlignment="1" applyProtection="1">
      <alignment vertical="center" wrapText="1"/>
      <protection locked="0"/>
    </xf>
    <xf numFmtId="3" fontId="10" fillId="0" borderId="42"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wrapText="1"/>
      <protection locked="0"/>
    </xf>
    <xf numFmtId="0" fontId="10" fillId="0" borderId="56" xfId="0" applyFont="1" applyBorder="1" applyAlignment="1" applyProtection="1">
      <alignment vertical="center" wrapText="1"/>
      <protection locked="0"/>
    </xf>
    <xf numFmtId="3" fontId="10" fillId="0" borderId="11"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protection locked="0"/>
    </xf>
    <xf numFmtId="3" fontId="10" fillId="0" borderId="12" xfId="0" applyNumberFormat="1" applyFont="1" applyBorder="1" applyAlignment="1" applyProtection="1">
      <alignment horizontal="right" vertical="center"/>
      <protection locked="0"/>
    </xf>
    <xf numFmtId="0" fontId="20" fillId="0" borderId="72" xfId="0" applyFont="1" applyBorder="1" applyAlignment="1" applyProtection="1">
      <alignment vertical="center" wrapText="1"/>
      <protection locked="0"/>
    </xf>
    <xf numFmtId="3" fontId="20" fillId="0" borderId="17" xfId="0" applyNumberFormat="1" applyFont="1" applyBorder="1" applyAlignment="1" applyProtection="1">
      <alignment horizontal="right" vertical="center"/>
      <protection locked="0"/>
    </xf>
    <xf numFmtId="0" fontId="20" fillId="0" borderId="53" xfId="0" applyFont="1" applyBorder="1" applyAlignment="1" applyProtection="1">
      <alignment vertical="center" wrapText="1"/>
      <protection locked="0"/>
    </xf>
    <xf numFmtId="3" fontId="20" fillId="0" borderId="12" xfId="0" applyNumberFormat="1" applyFont="1" applyBorder="1" applyAlignment="1" applyProtection="1">
      <alignment horizontal="right" vertical="center"/>
      <protection locked="0"/>
    </xf>
    <xf numFmtId="3" fontId="20" fillId="0" borderId="41" xfId="0" applyNumberFormat="1" applyFont="1" applyBorder="1" applyAlignment="1" applyProtection="1">
      <alignment horizontal="right" vertical="center"/>
      <protection locked="0"/>
    </xf>
    <xf numFmtId="3" fontId="20" fillId="0" borderId="43" xfId="0" applyNumberFormat="1" applyFont="1" applyBorder="1" applyAlignment="1" applyProtection="1">
      <alignment horizontal="right" vertical="center"/>
      <protection locked="0"/>
    </xf>
    <xf numFmtId="3" fontId="11" fillId="0" borderId="41" xfId="0" applyNumberFormat="1" applyFont="1" applyBorder="1" applyAlignment="1" applyProtection="1">
      <alignment horizontal="right" vertical="center"/>
      <protection locked="0"/>
    </xf>
    <xf numFmtId="3" fontId="11" fillId="0" borderId="42" xfId="0" applyNumberFormat="1" applyFont="1" applyBorder="1" applyAlignment="1" applyProtection="1">
      <alignment horizontal="right" vertical="center"/>
      <protection locked="0"/>
    </xf>
    <xf numFmtId="3" fontId="20" fillId="0" borderId="42" xfId="0" applyNumberFormat="1" applyFont="1" applyBorder="1" applyAlignment="1" applyProtection="1">
      <alignment horizontal="right" vertical="center"/>
      <protection locked="0"/>
    </xf>
    <xf numFmtId="3" fontId="20" fillId="0" borderId="39" xfId="0" applyNumberFormat="1" applyFont="1" applyBorder="1" applyAlignment="1" applyProtection="1">
      <alignment horizontal="right" vertical="center"/>
      <protection locked="0"/>
    </xf>
    <xf numFmtId="0" fontId="12" fillId="21" borderId="57" xfId="0" applyFont="1" applyFill="1" applyBorder="1" applyAlignment="1">
      <alignment horizontal="center" vertical="top"/>
    </xf>
    <xf numFmtId="0" fontId="29" fillId="18" borderId="45" xfId="0" applyFont="1" applyFill="1" applyBorder="1" applyAlignment="1">
      <alignment horizontal="left" vertical="center"/>
    </xf>
    <xf numFmtId="0" fontId="45" fillId="0" borderId="0" xfId="0" applyFont="1" applyAlignment="1">
      <alignment vertical="center"/>
    </xf>
    <xf numFmtId="0" fontId="15" fillId="21" borderId="57" xfId="0" applyFont="1" applyFill="1" applyBorder="1" applyAlignment="1">
      <alignment horizontal="center" vertical="top"/>
    </xf>
    <xf numFmtId="0" fontId="0" fillId="0" borderId="0" xfId="0" applyAlignment="1">
      <alignment vertical="top"/>
    </xf>
    <xf numFmtId="0" fontId="12" fillId="0" borderId="0" xfId="0" applyFont="1" applyAlignment="1">
      <alignment vertical="top" wrapText="1"/>
    </xf>
    <xf numFmtId="0" fontId="10"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wrapText="1"/>
    </xf>
    <xf numFmtId="0" fontId="33" fillId="0" borderId="0" xfId="0" applyFont="1"/>
    <xf numFmtId="0" fontId="10" fillId="0" borderId="16"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34" xfId="0" applyFont="1" applyFill="1" applyBorder="1" applyAlignment="1">
      <alignment horizontal="center" wrapText="1"/>
    </xf>
    <xf numFmtId="0" fontId="12" fillId="2" borderId="71" xfId="0" applyFont="1" applyFill="1" applyBorder="1" applyAlignment="1">
      <alignment horizontal="center" wrapText="1"/>
    </xf>
    <xf numFmtId="0" fontId="12" fillId="21" borderId="40" xfId="0" applyFont="1" applyFill="1" applyBorder="1" applyAlignment="1">
      <alignment horizontal="center" vertical="top" wrapText="1"/>
    </xf>
    <xf numFmtId="0" fontId="12" fillId="2" borderId="57" xfId="0" applyFont="1" applyFill="1" applyBorder="1" applyAlignment="1">
      <alignment horizontal="center" vertical="top" wrapText="1"/>
    </xf>
    <xf numFmtId="2" fontId="10" fillId="4" borderId="1" xfId="0" applyNumberFormat="1" applyFont="1" applyFill="1" applyBorder="1" applyAlignment="1">
      <alignment horizontal="center" vertical="center" wrapText="1"/>
    </xf>
    <xf numFmtId="2" fontId="10" fillId="4" borderId="13" xfId="0" applyNumberFormat="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2" borderId="40" xfId="0" applyFont="1" applyFill="1" applyBorder="1" applyAlignment="1">
      <alignment horizontal="center" vertical="top" wrapText="1"/>
    </xf>
    <xf numFmtId="0" fontId="11" fillId="18" borderId="0" xfId="0" applyFont="1" applyFill="1" applyAlignment="1">
      <alignment vertical="center" wrapText="1"/>
    </xf>
    <xf numFmtId="0" fontId="32" fillId="0" borderId="0" xfId="0" applyFont="1"/>
    <xf numFmtId="0" fontId="33"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12" fillId="4" borderId="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2" fillId="4" borderId="63" xfId="0" applyFont="1" applyFill="1" applyBorder="1" applyAlignment="1">
      <alignment vertical="center"/>
    </xf>
    <xf numFmtId="0" fontId="12" fillId="4" borderId="64" xfId="0" applyFont="1" applyFill="1" applyBorder="1" applyAlignment="1">
      <alignment vertical="center"/>
    </xf>
    <xf numFmtId="0" fontId="12" fillId="4" borderId="43" xfId="0" applyFont="1" applyFill="1" applyBorder="1" applyAlignment="1">
      <alignment horizontal="center" vertical="center"/>
    </xf>
    <xf numFmtId="0" fontId="10" fillId="4" borderId="15" xfId="0" applyFont="1" applyFill="1" applyBorder="1" applyAlignment="1">
      <alignment vertical="center" wrapText="1"/>
    </xf>
    <xf numFmtId="0" fontId="10" fillId="4" borderId="24" xfId="0" applyFont="1" applyFill="1" applyBorder="1" applyAlignment="1">
      <alignment vertical="center" wrapText="1"/>
    </xf>
    <xf numFmtId="0" fontId="10" fillId="4" borderId="2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1" fillId="4" borderId="54"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4" borderId="33" xfId="0" applyFont="1" applyFill="1" applyBorder="1" applyAlignment="1">
      <alignment vertical="center" wrapText="1"/>
    </xf>
    <xf numFmtId="0" fontId="10" fillId="4" borderId="68"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4" borderId="49"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17" borderId="1" xfId="0" applyFont="1" applyFill="1" applyBorder="1" applyAlignment="1">
      <alignment horizontal="center" vertical="center" wrapText="1"/>
    </xf>
    <xf numFmtId="0" fontId="10" fillId="17" borderId="38" xfId="0" applyFont="1" applyFill="1" applyBorder="1" applyAlignment="1">
      <alignment horizontal="center" vertical="center" wrapText="1"/>
    </xf>
    <xf numFmtId="0" fontId="10"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38" xfId="0" quotePrefix="1" applyFont="1" applyBorder="1" applyAlignment="1">
      <alignment horizontal="center" vertical="center" wrapText="1"/>
    </xf>
    <xf numFmtId="0" fontId="10" fillId="0" borderId="13" xfId="0" quotePrefix="1" applyFont="1" applyBorder="1" applyAlignment="1">
      <alignment horizontal="center" vertical="center" wrapText="1"/>
    </xf>
    <xf numFmtId="0" fontId="11" fillId="0" borderId="13" xfId="0" quotePrefix="1" applyFont="1" applyBorder="1" applyAlignment="1">
      <alignment horizontal="center" vertical="center" wrapText="1"/>
    </xf>
    <xf numFmtId="0" fontId="11" fillId="4" borderId="4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3" xfId="0" applyFont="1" applyBorder="1" applyAlignment="1">
      <alignment horizontal="center" vertical="center" wrapText="1"/>
    </xf>
    <xf numFmtId="0" fontId="10" fillId="4" borderId="4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5" fillId="18" borderId="0" xfId="0" applyFont="1" applyFill="1" applyAlignment="1">
      <alignment horizontal="left" vertical="center"/>
    </xf>
    <xf numFmtId="0" fontId="25" fillId="0" borderId="0" xfId="0" applyFont="1"/>
    <xf numFmtId="3" fontId="10" fillId="0" borderId="41" xfId="0" applyNumberFormat="1" applyFont="1" applyBorder="1" applyAlignment="1" applyProtection="1">
      <alignment horizontal="right" vertical="center"/>
      <protection locked="0"/>
    </xf>
    <xf numFmtId="3" fontId="10" fillId="0" borderId="6" xfId="0" applyNumberFormat="1" applyFont="1" applyBorder="1" applyAlignment="1" applyProtection="1">
      <alignment horizontal="right" vertical="center"/>
      <protection locked="0"/>
    </xf>
    <xf numFmtId="3" fontId="11" fillId="0" borderId="6" xfId="0" applyNumberFormat="1" applyFont="1" applyBorder="1" applyAlignment="1" applyProtection="1">
      <alignment horizontal="right" vertical="center" wrapText="1"/>
      <protection locked="0"/>
    </xf>
    <xf numFmtId="3" fontId="10" fillId="0" borderId="57" xfId="0" applyNumberFormat="1" applyFont="1" applyBorder="1" applyAlignment="1" applyProtection="1">
      <alignment horizontal="right" vertical="center"/>
      <protection locked="0"/>
    </xf>
    <xf numFmtId="3" fontId="10" fillId="0" borderId="74" xfId="0" applyNumberFormat="1" applyFont="1" applyBorder="1" applyAlignment="1" applyProtection="1">
      <alignment horizontal="right" vertical="center"/>
      <protection locked="0"/>
    </xf>
    <xf numFmtId="3" fontId="10" fillId="0" borderId="61" xfId="0" applyNumberFormat="1" applyFont="1" applyBorder="1" applyAlignment="1" applyProtection="1">
      <alignment horizontal="right" vertical="center" wrapText="1"/>
      <protection locked="0"/>
    </xf>
    <xf numFmtId="3" fontId="11" fillId="0" borderId="61" xfId="0" applyNumberFormat="1" applyFont="1" applyBorder="1" applyAlignment="1" applyProtection="1">
      <alignment horizontal="right" vertical="center" wrapText="1"/>
      <protection locked="0"/>
    </xf>
    <xf numFmtId="3" fontId="11" fillId="0" borderId="61" xfId="0" applyNumberFormat="1" applyFont="1" applyBorder="1" applyAlignment="1" applyProtection="1">
      <alignment horizontal="right" vertical="center"/>
      <protection locked="0"/>
    </xf>
    <xf numFmtId="3" fontId="10" fillId="0" borderId="61" xfId="0" applyNumberFormat="1" applyFont="1" applyBorder="1" applyAlignment="1" applyProtection="1">
      <alignment horizontal="right" vertical="center"/>
      <protection locked="0"/>
    </xf>
    <xf numFmtId="3" fontId="10" fillId="0" borderId="59" xfId="0" applyNumberFormat="1" applyFont="1" applyBorder="1" applyAlignment="1" applyProtection="1">
      <alignment horizontal="right" vertical="center"/>
      <protection locked="0"/>
    </xf>
    <xf numFmtId="0" fontId="10" fillId="22" borderId="52" xfId="0" applyFont="1" applyFill="1" applyBorder="1" applyAlignment="1">
      <alignment vertical="center" wrapText="1"/>
    </xf>
    <xf numFmtId="3" fontId="10" fillId="0" borderId="9" xfId="0" applyNumberFormat="1" applyFont="1" applyBorder="1" applyAlignment="1" applyProtection="1">
      <alignment horizontal="right" vertical="center"/>
      <protection locked="0"/>
    </xf>
    <xf numFmtId="3" fontId="11" fillId="0" borderId="10" xfId="0" applyNumberFormat="1" applyFont="1" applyBorder="1" applyAlignment="1" applyProtection="1">
      <alignment horizontal="right" vertical="center"/>
      <protection locked="0"/>
    </xf>
    <xf numFmtId="0" fontId="10" fillId="0" borderId="9" xfId="0" applyFont="1" applyBorder="1" applyAlignment="1" applyProtection="1">
      <alignment vertical="center" wrapText="1"/>
      <protection locked="0"/>
    </xf>
    <xf numFmtId="3" fontId="20" fillId="0" borderId="1" xfId="0" applyNumberFormat="1" applyFont="1" applyBorder="1" applyAlignment="1" applyProtection="1">
      <alignment horizontal="right" vertical="center"/>
      <protection locked="0"/>
    </xf>
    <xf numFmtId="0" fontId="20" fillId="0" borderId="52"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3" fontId="20" fillId="0" borderId="9" xfId="0" applyNumberFormat="1" applyFont="1" applyBorder="1" applyAlignment="1" applyProtection="1">
      <alignment horizontal="right" vertical="center"/>
      <protection locked="0"/>
    </xf>
    <xf numFmtId="3" fontId="20" fillId="0" borderId="20" xfId="0" applyNumberFormat="1" applyFont="1" applyBorder="1" applyAlignment="1" applyProtection="1">
      <alignment horizontal="right" vertical="center"/>
      <protection locked="0"/>
    </xf>
    <xf numFmtId="3" fontId="20" fillId="0" borderId="21" xfId="0" applyNumberFormat="1" applyFont="1" applyBorder="1" applyAlignment="1" applyProtection="1">
      <alignment horizontal="right" vertical="center"/>
      <protection locked="0"/>
    </xf>
    <xf numFmtId="3" fontId="20" fillId="0" borderId="13" xfId="0" applyNumberFormat="1" applyFont="1" applyBorder="1" applyAlignment="1" applyProtection="1">
      <alignment horizontal="right" vertical="center"/>
      <protection locked="0"/>
    </xf>
    <xf numFmtId="0" fontId="20" fillId="22" borderId="52" xfId="0" applyFont="1" applyFill="1" applyBorder="1" applyAlignment="1">
      <alignment vertical="center" wrapText="1"/>
    </xf>
    <xf numFmtId="3" fontId="11" fillId="0" borderId="20" xfId="0" applyNumberFormat="1" applyFont="1" applyBorder="1" applyAlignment="1" applyProtection="1">
      <alignment horizontal="right" vertical="center"/>
      <protection locked="0"/>
    </xf>
    <xf numFmtId="0" fontId="14" fillId="13" borderId="0" xfId="0" applyFont="1" applyFill="1" applyAlignment="1">
      <alignment vertical="center"/>
    </xf>
    <xf numFmtId="0" fontId="0" fillId="0" borderId="1" xfId="0" applyBorder="1" applyAlignment="1">
      <alignment horizontal="center"/>
    </xf>
    <xf numFmtId="0" fontId="10" fillId="19" borderId="0" xfId="0" applyFont="1" applyFill="1" applyAlignment="1">
      <alignment horizontal="left" wrapText="1"/>
    </xf>
    <xf numFmtId="0" fontId="10" fillId="19" borderId="64" xfId="0" applyFont="1" applyFill="1" applyBorder="1" applyAlignment="1">
      <alignment horizontal="left" wrapText="1"/>
    </xf>
    <xf numFmtId="0" fontId="10" fillId="19" borderId="0" xfId="0" applyFont="1" applyFill="1" applyAlignment="1">
      <alignment horizontal="left" vertical="center"/>
    </xf>
    <xf numFmtId="0" fontId="0" fillId="4" borderId="1" xfId="0" applyFill="1" applyBorder="1" applyAlignment="1">
      <alignment horizontal="center" vertical="center"/>
    </xf>
    <xf numFmtId="0" fontId="59" fillId="14" borderId="0" xfId="0" applyFont="1" applyFill="1" applyAlignment="1">
      <alignment vertical="center" wrapText="1"/>
    </xf>
    <xf numFmtId="0" fontId="12" fillId="4" borderId="6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10" fillId="17" borderId="69" xfId="0" applyFont="1" applyFill="1" applyBorder="1" applyAlignment="1">
      <alignment horizontal="center" vertical="center" wrapText="1"/>
    </xf>
    <xf numFmtId="0" fontId="10" fillId="17" borderId="45" xfId="0" applyFont="1" applyFill="1" applyBorder="1" applyAlignment="1">
      <alignment horizontal="center" vertical="center" wrapText="1"/>
    </xf>
    <xf numFmtId="0" fontId="10" fillId="17" borderId="64" xfId="0" applyFont="1" applyFill="1" applyBorder="1" applyAlignment="1">
      <alignment horizontal="center" vertical="center" wrapText="1"/>
    </xf>
    <xf numFmtId="0" fontId="10" fillId="17" borderId="51"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52" xfId="0" applyFont="1" applyFill="1" applyBorder="1" applyAlignment="1">
      <alignment horizontal="center" vertical="center"/>
    </xf>
    <xf numFmtId="0" fontId="12" fillId="4" borderId="21" xfId="0" applyFont="1" applyFill="1" applyBorder="1" applyAlignment="1">
      <alignment horizontal="center" vertical="center"/>
    </xf>
    <xf numFmtId="0" fontId="22" fillId="0" borderId="0" xfId="0" applyFont="1" applyAlignment="1">
      <alignment horizontal="left"/>
    </xf>
    <xf numFmtId="0" fontId="11" fillId="0" borderId="53" xfId="0" applyFont="1" applyBorder="1" applyAlignment="1">
      <alignment horizontal="center" vertical="center" wrapText="1"/>
    </xf>
    <xf numFmtId="0" fontId="11" fillId="0" borderId="39"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1" fillId="0" borderId="0" xfId="0" applyFont="1" applyAlignment="1">
      <alignment horizontal="left" vertical="center" wrapText="1"/>
    </xf>
    <xf numFmtId="0" fontId="12" fillId="4" borderId="52" xfId="0" applyFont="1" applyFill="1" applyBorder="1" applyAlignment="1">
      <alignment horizontal="center" vertical="center" wrapText="1"/>
    </xf>
    <xf numFmtId="0" fontId="2" fillId="17" borderId="30" xfId="0" applyFont="1" applyFill="1" applyBorder="1" applyAlignment="1">
      <alignment horizontal="left" vertical="top" wrapText="1"/>
    </xf>
    <xf numFmtId="0" fontId="3" fillId="17" borderId="4" xfId="0" applyFont="1" applyFill="1" applyBorder="1" applyAlignment="1">
      <alignment horizontal="left" vertical="top"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5" fillId="15" borderId="1" xfId="1" applyFill="1" applyBorder="1" applyAlignment="1" applyProtection="1">
      <alignment horizontal="center" vertical="center"/>
      <protection locked="0"/>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37" fillId="0" borderId="0" xfId="0" applyFont="1" applyAlignment="1">
      <alignment horizontal="left" vertical="center"/>
    </xf>
    <xf numFmtId="0" fontId="10" fillId="0" borderId="20" xfId="0" applyFont="1" applyBorder="1" applyAlignment="1" applyProtection="1">
      <alignment horizontal="left" vertical="center" indent="1"/>
      <protection locked="0"/>
    </xf>
    <xf numFmtId="0" fontId="10" fillId="0" borderId="1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0" fillId="0" borderId="42" xfId="0" applyFont="1" applyBorder="1" applyAlignment="1" applyProtection="1">
      <alignment horizontal="left" vertical="center" indent="1"/>
      <protection locked="0"/>
    </xf>
    <xf numFmtId="0" fontId="10" fillId="0" borderId="1"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49" fontId="10" fillId="0" borderId="42" xfId="0" applyNumberFormat="1" applyFont="1" applyBorder="1" applyAlignment="1" applyProtection="1">
      <alignment horizontal="left" vertical="center" indent="1"/>
      <protection locked="0"/>
    </xf>
    <xf numFmtId="49" fontId="10" fillId="0" borderId="1" xfId="0" applyNumberFormat="1" applyFont="1" applyBorder="1" applyAlignment="1" applyProtection="1">
      <alignment horizontal="left" vertical="center" indent="1"/>
      <protection locked="0"/>
    </xf>
    <xf numFmtId="49" fontId="10" fillId="0" borderId="13" xfId="0" applyNumberFormat="1" applyFont="1" applyBorder="1" applyAlignment="1" applyProtection="1">
      <alignment horizontal="left" vertical="center" indent="1"/>
      <protection locked="0"/>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14" fontId="10" fillId="0" borderId="42" xfId="0" applyNumberFormat="1" applyFont="1" applyBorder="1" applyAlignment="1" applyProtection="1">
      <alignment horizontal="left" vertical="center" indent="1"/>
      <protection locked="0"/>
    </xf>
    <xf numFmtId="14" fontId="10" fillId="0" borderId="1" xfId="0" applyNumberFormat="1" applyFont="1" applyBorder="1" applyAlignment="1" applyProtection="1">
      <alignment horizontal="left" vertical="center" indent="1"/>
      <protection locked="0"/>
    </xf>
    <xf numFmtId="14" fontId="10" fillId="0" borderId="13" xfId="0" applyNumberFormat="1" applyFont="1" applyBorder="1" applyAlignment="1" applyProtection="1">
      <alignment horizontal="left" vertical="center" indent="1"/>
      <protection locked="0"/>
    </xf>
    <xf numFmtId="0" fontId="12" fillId="2" borderId="1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0" borderId="6" xfId="0" applyFont="1" applyBorder="1" applyAlignment="1">
      <alignment horizontal="left" vertical="center" indent="1"/>
    </xf>
    <xf numFmtId="0" fontId="11" fillId="0" borderId="57" xfId="0" applyFont="1" applyBorder="1" applyAlignment="1">
      <alignment horizontal="left" vertical="center" indent="1"/>
    </xf>
    <xf numFmtId="0" fontId="10" fillId="0" borderId="24" xfId="0" applyFont="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16" xfId="0" applyFont="1" applyBorder="1" applyAlignment="1" applyProtection="1">
      <alignment horizontal="left" vertical="center" indent="1"/>
      <protection locked="0"/>
    </xf>
    <xf numFmtId="0" fontId="11" fillId="0" borderId="15" xfId="0" applyFont="1" applyBorder="1" applyAlignment="1">
      <alignment horizontal="left" vertical="center" indent="1"/>
    </xf>
    <xf numFmtId="0" fontId="11" fillId="0" borderId="16" xfId="0" applyFont="1" applyBorder="1" applyAlignment="1">
      <alignment horizontal="left" vertical="center" indent="1"/>
    </xf>
    <xf numFmtId="0" fontId="12"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0" fillId="0" borderId="1" xfId="0" applyBorder="1" applyAlignment="1">
      <alignment horizontal="center"/>
    </xf>
    <xf numFmtId="0" fontId="10" fillId="3" borderId="31" xfId="0" applyFont="1" applyFill="1" applyBorder="1" applyAlignment="1">
      <alignment horizontal="center" vertical="center"/>
    </xf>
    <xf numFmtId="0" fontId="10" fillId="3" borderId="4" xfId="0" applyFont="1" applyFill="1" applyBorder="1" applyAlignment="1">
      <alignment horizontal="center" vertical="center"/>
    </xf>
    <xf numFmtId="0" fontId="29" fillId="0" borderId="45" xfId="0" applyFont="1" applyBorder="1" applyAlignment="1">
      <alignment horizontal="left" vertical="center" wrapText="1"/>
    </xf>
    <xf numFmtId="0" fontId="29" fillId="0" borderId="0" xfId="0" applyFont="1" applyAlignment="1">
      <alignment horizontal="left" vertical="center"/>
    </xf>
    <xf numFmtId="0" fontId="2" fillId="0" borderId="0" xfId="0" applyFont="1" applyAlignment="1">
      <alignment horizontal="left"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0" fillId="0" borderId="0" xfId="0" applyFont="1" applyAlignment="1">
      <alignment horizontal="center" vertical="center" wrapText="1"/>
    </xf>
    <xf numFmtId="14" fontId="10" fillId="0" borderId="46" xfId="0" applyNumberFormat="1" applyFont="1" applyBorder="1" applyAlignment="1" applyProtection="1">
      <alignment horizontal="left" vertical="center" indent="1"/>
      <protection locked="0"/>
    </xf>
    <xf numFmtId="14" fontId="10" fillId="0" borderId="39" xfId="0" applyNumberFormat="1" applyFont="1" applyBorder="1" applyAlignment="1" applyProtection="1">
      <alignment horizontal="left" vertical="center" indent="1"/>
      <protection locked="0"/>
    </xf>
    <xf numFmtId="14" fontId="10" fillId="0" borderId="25" xfId="0" applyNumberFormat="1" applyFont="1" applyBorder="1" applyAlignment="1" applyProtection="1">
      <alignment horizontal="left" vertical="center" indent="1"/>
      <protection locked="0"/>
    </xf>
    <xf numFmtId="14" fontId="10" fillId="0" borderId="33" xfId="0" applyNumberFormat="1" applyFont="1" applyBorder="1" applyAlignment="1" applyProtection="1">
      <alignment horizontal="left" vertical="center" indent="1"/>
      <protection locked="0"/>
    </xf>
    <xf numFmtId="0" fontId="11" fillId="0" borderId="38" xfId="0" applyFont="1" applyBorder="1" applyAlignment="1">
      <alignment horizontal="left" vertical="center"/>
    </xf>
    <xf numFmtId="0" fontId="11" fillId="0" borderId="46" xfId="0" applyFont="1" applyBorder="1" applyAlignment="1">
      <alignment horizontal="left" vertical="center"/>
    </xf>
    <xf numFmtId="0" fontId="11" fillId="0" borderId="42" xfId="0" applyFont="1" applyBorder="1" applyAlignment="1">
      <alignment horizontal="left" vertical="center"/>
    </xf>
    <xf numFmtId="0" fontId="10" fillId="0" borderId="38"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29" fillId="0" borderId="0" xfId="0" applyFont="1" applyAlignment="1">
      <alignment horizontal="left" vertical="center" wrapText="1"/>
    </xf>
    <xf numFmtId="0" fontId="11" fillId="4" borderId="30"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11" fillId="0" borderId="1" xfId="0" applyFont="1" applyBorder="1" applyAlignment="1" applyProtection="1">
      <alignment horizontal="left" vertical="center"/>
      <protection locked="0"/>
    </xf>
    <xf numFmtId="0" fontId="0" fillId="0" borderId="1" xfId="0" applyBorder="1" applyAlignment="1">
      <alignment horizontal="left"/>
    </xf>
    <xf numFmtId="14" fontId="10" fillId="0" borderId="38" xfId="0" applyNumberFormat="1" applyFont="1" applyBorder="1" applyAlignment="1" applyProtection="1">
      <alignment horizontal="left" vertical="center" indent="1"/>
      <protection locked="0"/>
    </xf>
    <xf numFmtId="14" fontId="10" fillId="0" borderId="32" xfId="0" applyNumberFormat="1" applyFont="1" applyBorder="1" applyAlignment="1" applyProtection="1">
      <alignment horizontal="left" vertical="center" indent="1"/>
      <protection locked="0"/>
    </xf>
    <xf numFmtId="0" fontId="11" fillId="0" borderId="73"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5" fillId="4" borderId="30"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2" fillId="2" borderId="72"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0" borderId="1" xfId="0" applyFont="1" applyBorder="1" applyAlignment="1">
      <alignment horizontal="left" vertical="center" indent="1"/>
    </xf>
    <xf numFmtId="0" fontId="10" fillId="0" borderId="13" xfId="0" applyFont="1" applyBorder="1" applyAlignment="1">
      <alignment horizontal="left" vertical="center" indent="1"/>
    </xf>
    <xf numFmtId="3" fontId="10" fillId="0" borderId="1" xfId="0" applyNumberFormat="1" applyFont="1" applyBorder="1" applyAlignment="1">
      <alignment horizontal="left" vertical="center" indent="1"/>
    </xf>
    <xf numFmtId="14" fontId="10" fillId="0" borderId="1" xfId="0" applyNumberFormat="1" applyFont="1" applyBorder="1" applyAlignment="1">
      <alignment horizontal="left" vertical="center" indent="1"/>
    </xf>
    <xf numFmtId="14" fontId="10" fillId="0" borderId="13" xfId="0" applyNumberFormat="1" applyFont="1" applyBorder="1" applyAlignment="1">
      <alignment horizontal="left" vertical="center" indent="1"/>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15" borderId="45" xfId="0" applyFont="1" applyFill="1" applyBorder="1" applyAlignment="1">
      <alignment horizontal="left" vertical="center" wrapText="1"/>
    </xf>
    <xf numFmtId="0" fontId="11" fillId="15" borderId="0" xfId="0" applyFont="1" applyFill="1" applyAlignment="1">
      <alignment horizontal="left" vertical="center" wrapText="1"/>
    </xf>
    <xf numFmtId="0" fontId="10" fillId="15" borderId="0" xfId="0" applyFont="1" applyFill="1" applyAlignment="1">
      <alignment horizontal="left" vertical="center" wrapText="1"/>
    </xf>
    <xf numFmtId="0" fontId="12" fillId="2" borderId="2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6" fillId="4" borderId="38"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1" fillId="4" borderId="23"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0" fillId="0" borderId="22" xfId="0" applyFont="1" applyBorder="1" applyAlignment="1">
      <alignment horizontal="left" vertical="center" indent="1"/>
    </xf>
    <xf numFmtId="0" fontId="10" fillId="0" borderId="54" xfId="0" applyFont="1" applyBorder="1" applyAlignment="1">
      <alignment horizontal="left" vertical="center" indent="1"/>
    </xf>
    <xf numFmtId="0" fontId="10" fillId="0" borderId="6" xfId="0" applyFont="1" applyBorder="1" applyAlignment="1">
      <alignment horizontal="left" vertical="center" indent="1"/>
    </xf>
    <xf numFmtId="0" fontId="10" fillId="0" borderId="57" xfId="0" applyFont="1" applyBorder="1" applyAlignment="1">
      <alignment horizontal="left" vertical="center" indent="1"/>
    </xf>
    <xf numFmtId="0" fontId="12" fillId="2" borderId="18"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0" fillId="15" borderId="45"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1" fillId="4" borderId="55"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0" fillId="0" borderId="6" xfId="0" applyFont="1" applyBorder="1" applyAlignment="1">
      <alignment horizontal="left" vertical="center" wrapText="1" indent="1"/>
    </xf>
    <xf numFmtId="0" fontId="10" fillId="0" borderId="57" xfId="0" applyFont="1" applyBorder="1" applyAlignment="1">
      <alignment horizontal="left" vertical="center" wrapText="1" indent="1"/>
    </xf>
    <xf numFmtId="0" fontId="11" fillId="15" borderId="45" xfId="0" applyFont="1" applyFill="1" applyBorder="1" applyAlignment="1">
      <alignment horizontal="left" vertical="top" wrapText="1"/>
    </xf>
    <xf numFmtId="0" fontId="11" fillId="15" borderId="0" xfId="0" applyFont="1" applyFill="1" applyAlignment="1">
      <alignment horizontal="left" vertical="top" wrapText="1"/>
    </xf>
    <xf numFmtId="0" fontId="10" fillId="22" borderId="38" xfId="0" applyFont="1" applyFill="1" applyBorder="1" applyAlignment="1">
      <alignment horizontal="center" vertical="center" wrapText="1"/>
    </xf>
    <xf numFmtId="0" fontId="10" fillId="22" borderId="39" xfId="0" applyFont="1" applyFill="1" applyBorder="1" applyAlignment="1">
      <alignment horizontal="center" vertical="center" wrapText="1"/>
    </xf>
    <xf numFmtId="0" fontId="29" fillId="19" borderId="36" xfId="0" applyFont="1" applyFill="1" applyBorder="1" applyAlignment="1">
      <alignment horizontal="left" vertical="top" wrapText="1"/>
    </xf>
    <xf numFmtId="0" fontId="15" fillId="11" borderId="52" xfId="0" applyFont="1" applyFill="1" applyBorder="1" applyAlignment="1">
      <alignment horizontal="center" vertical="center"/>
    </xf>
    <xf numFmtId="0" fontId="15" fillId="11" borderId="19" xfId="0" applyFont="1" applyFill="1" applyBorder="1" applyAlignment="1">
      <alignment horizontal="center" vertical="center"/>
    </xf>
    <xf numFmtId="0" fontId="20" fillId="0" borderId="38"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11" fillId="25" borderId="1"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65" xfId="0" applyFont="1" applyFill="1" applyBorder="1" applyAlignment="1">
      <alignment horizontal="center" vertical="center" wrapText="1"/>
    </xf>
    <xf numFmtId="0" fontId="14" fillId="9" borderId="55" xfId="0" applyFont="1" applyFill="1" applyBorder="1" applyAlignment="1">
      <alignment horizontal="center" vertical="center" wrapText="1"/>
    </xf>
    <xf numFmtId="0" fontId="12" fillId="21" borderId="28" xfId="0" applyFont="1" applyFill="1" applyBorder="1" applyAlignment="1">
      <alignment horizontal="center" vertical="center" wrapText="1"/>
    </xf>
    <xf numFmtId="0" fontId="12" fillId="21" borderId="65" xfId="0" applyFont="1" applyFill="1" applyBorder="1" applyAlignment="1">
      <alignment horizontal="center" vertical="center" wrapText="1"/>
    </xf>
    <xf numFmtId="0" fontId="12" fillId="21" borderId="55"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46" fillId="2" borderId="23"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10" fillId="14" borderId="26" xfId="0" applyFont="1" applyFill="1" applyBorder="1" applyAlignment="1">
      <alignment horizontal="left" wrapText="1"/>
    </xf>
    <xf numFmtId="0" fontId="10" fillId="14" borderId="69" xfId="0" applyFont="1" applyFill="1" applyBorder="1" applyAlignment="1">
      <alignment horizontal="left" wrapText="1"/>
    </xf>
    <xf numFmtId="0" fontId="10" fillId="14" borderId="0" xfId="0" applyFont="1" applyFill="1" applyAlignment="1">
      <alignment horizontal="left" vertical="center" wrapText="1"/>
    </xf>
    <xf numFmtId="0" fontId="10" fillId="14" borderId="64" xfId="0" applyFont="1" applyFill="1" applyBorder="1" applyAlignment="1">
      <alignment horizontal="left" vertical="center" wrapText="1"/>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1" fillId="24" borderId="1" xfId="0" applyFont="1" applyFill="1" applyBorder="1" applyAlignment="1">
      <alignment horizontal="center" vertical="center" wrapText="1"/>
    </xf>
    <xf numFmtId="0" fontId="11" fillId="23" borderId="1" xfId="0" applyFont="1" applyFill="1" applyBorder="1" applyAlignment="1">
      <alignment horizontal="center" vertical="center" wrapText="1"/>
    </xf>
    <xf numFmtId="0" fontId="20" fillId="22" borderId="38" xfId="0" applyFont="1" applyFill="1" applyBorder="1" applyAlignment="1">
      <alignment horizontal="center" vertical="center" wrapText="1"/>
    </xf>
    <xf numFmtId="0" fontId="20" fillId="22" borderId="39" xfId="0" applyFont="1" applyFill="1" applyBorder="1" applyAlignment="1">
      <alignment horizontal="center" vertical="center" wrapTex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14" borderId="0" xfId="0" applyFont="1" applyFill="1" applyAlignment="1">
      <alignment horizontal="left" vertical="top" wrapText="1"/>
    </xf>
    <xf numFmtId="0" fontId="10" fillId="14" borderId="36" xfId="0" applyFont="1" applyFill="1" applyBorder="1" applyAlignment="1">
      <alignment horizontal="left" vertical="top" wrapText="1"/>
    </xf>
    <xf numFmtId="0" fontId="10" fillId="14" borderId="44" xfId="0" applyFont="1" applyFill="1" applyBorder="1" applyAlignment="1">
      <alignment horizontal="left" vertical="top" wrapText="1"/>
    </xf>
    <xf numFmtId="0" fontId="12" fillId="2" borderId="9" xfId="0" applyFont="1" applyFill="1" applyBorder="1" applyAlignment="1">
      <alignment horizontal="center" vertical="center" wrapText="1"/>
    </xf>
    <xf numFmtId="0" fontId="12" fillId="2" borderId="56" xfId="0" applyFont="1" applyFill="1" applyBorder="1" applyAlignment="1">
      <alignment horizontal="center" vertical="center" wrapText="1"/>
    </xf>
    <xf numFmtId="3" fontId="12" fillId="2" borderId="34" xfId="0" applyNumberFormat="1" applyFont="1" applyFill="1" applyBorder="1" applyAlignment="1">
      <alignment horizontal="center" vertical="center"/>
    </xf>
    <xf numFmtId="3" fontId="12" fillId="2" borderId="27"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3" fontId="12" fillId="2" borderId="8" xfId="0" applyNumberFormat="1" applyFont="1" applyFill="1" applyBorder="1" applyAlignment="1">
      <alignment horizontal="center" vertical="center"/>
    </xf>
    <xf numFmtId="3" fontId="12" fillId="2" borderId="35" xfId="0" applyNumberFormat="1" applyFont="1" applyFill="1" applyBorder="1" applyAlignment="1">
      <alignment horizontal="center" vertical="center"/>
    </xf>
    <xf numFmtId="3" fontId="12" fillId="2" borderId="37" xfId="0" applyNumberFormat="1" applyFont="1" applyFill="1" applyBorder="1" applyAlignment="1">
      <alignment horizontal="center" vertical="center"/>
    </xf>
    <xf numFmtId="0" fontId="15" fillId="2" borderId="3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1" fillId="13" borderId="1" xfId="0" applyFont="1" applyFill="1" applyBorder="1" applyAlignment="1">
      <alignment horizontal="center" vertical="center" wrapText="1"/>
    </xf>
    <xf numFmtId="3" fontId="12" fillId="2" borderId="10"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3" fontId="12" fillId="2" borderId="61" xfId="0" applyNumberFormat="1" applyFont="1" applyFill="1" applyBorder="1" applyAlignment="1">
      <alignment horizontal="center" vertical="center"/>
    </xf>
    <xf numFmtId="3" fontId="12" fillId="2" borderId="15" xfId="0" applyNumberFormat="1" applyFont="1" applyFill="1" applyBorder="1" applyAlignment="1">
      <alignment horizontal="center" vertical="center"/>
    </xf>
    <xf numFmtId="0" fontId="0" fillId="4" borderId="38" xfId="0" applyFill="1" applyBorder="1" applyAlignment="1">
      <alignment horizontal="center"/>
    </xf>
    <xf numFmtId="0" fontId="0" fillId="4" borderId="42" xfId="0" applyFill="1" applyBorder="1" applyAlignment="1">
      <alignment horizontal="center"/>
    </xf>
    <xf numFmtId="0" fontId="29" fillId="13" borderId="5" xfId="0" applyFont="1" applyFill="1" applyBorder="1" applyAlignment="1">
      <alignment horizontal="left" vertical="top" wrapText="1"/>
    </xf>
    <xf numFmtId="0" fontId="29" fillId="14" borderId="5" xfId="0" applyFont="1" applyFill="1" applyBorder="1" applyAlignment="1">
      <alignment horizontal="left" vertical="top" wrapText="1"/>
    </xf>
    <xf numFmtId="0" fontId="15" fillId="5" borderId="19" xfId="0" applyFont="1" applyFill="1" applyBorder="1" applyAlignment="1">
      <alignment horizontal="center" vertical="center"/>
    </xf>
    <xf numFmtId="0" fontId="10" fillId="22" borderId="18" xfId="0" applyFont="1" applyFill="1" applyBorder="1" applyAlignment="1">
      <alignment horizontal="center" vertical="center" wrapText="1"/>
    </xf>
    <xf numFmtId="0" fontId="10" fillId="22" borderId="21" xfId="0" applyFont="1" applyFill="1" applyBorder="1" applyAlignment="1">
      <alignment horizontal="center" vertical="center" wrapText="1"/>
    </xf>
    <xf numFmtId="0" fontId="15" fillId="21" borderId="2" xfId="0" applyFont="1" applyFill="1" applyBorder="1" applyAlignment="1">
      <alignment horizontal="left" vertical="center" wrapText="1"/>
    </xf>
    <xf numFmtId="0" fontId="15" fillId="21" borderId="5" xfId="0" applyFont="1" applyFill="1" applyBorder="1" applyAlignment="1">
      <alignment horizontal="left" vertical="center" wrapText="1"/>
    </xf>
    <xf numFmtId="0" fontId="15" fillId="21" borderId="3" xfId="0" applyFont="1" applyFill="1" applyBorder="1" applyAlignment="1">
      <alignment horizontal="left" vertical="center" wrapText="1"/>
    </xf>
    <xf numFmtId="0" fontId="15" fillId="2" borderId="2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22" borderId="10" xfId="0" applyFont="1" applyFill="1" applyBorder="1" applyAlignment="1">
      <alignment horizontal="left" vertical="center" indent="1"/>
    </xf>
    <xf numFmtId="0" fontId="11" fillId="22" borderId="11" xfId="0" applyFont="1" applyFill="1" applyBorder="1" applyAlignment="1">
      <alignment horizontal="left" vertical="center" indent="1"/>
    </xf>
    <xf numFmtId="0" fontId="11" fillId="0" borderId="1" xfId="0" applyFont="1" applyBorder="1" applyAlignment="1">
      <alignment horizontal="left" vertical="center" indent="1"/>
    </xf>
    <xf numFmtId="0" fontId="11" fillId="22" borderId="1" xfId="0" applyFont="1" applyFill="1" applyBorder="1" applyAlignment="1">
      <alignment horizontal="left" vertical="center" indent="1"/>
    </xf>
    <xf numFmtId="0" fontId="11" fillId="22" borderId="13" xfId="0" applyFont="1" applyFill="1" applyBorder="1" applyAlignment="1">
      <alignment horizontal="left" vertical="center" indent="1"/>
    </xf>
    <xf numFmtId="0" fontId="11" fillId="0" borderId="18"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21" xfId="0" applyFont="1" applyBorder="1" applyAlignment="1" applyProtection="1">
      <alignment horizontal="left" vertical="center" indent="1"/>
      <protection locked="0"/>
    </xf>
    <xf numFmtId="0" fontId="11" fillId="22" borderId="15" xfId="0" applyFont="1" applyFill="1" applyBorder="1" applyAlignment="1">
      <alignment horizontal="left" vertical="center" indent="1"/>
    </xf>
    <xf numFmtId="0" fontId="11" fillId="22" borderId="16" xfId="0" applyFont="1" applyFill="1" applyBorder="1" applyAlignment="1">
      <alignment horizontal="left" vertical="center" indent="1"/>
    </xf>
    <xf numFmtId="0" fontId="12" fillId="21" borderId="9" xfId="0" applyFont="1" applyFill="1" applyBorder="1" applyAlignment="1">
      <alignment horizontal="left" vertical="center" wrapText="1"/>
    </xf>
    <xf numFmtId="0" fontId="12" fillId="21" borderId="10"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46" fillId="2" borderId="50" xfId="0" applyFont="1" applyFill="1" applyBorder="1" applyAlignment="1">
      <alignment horizontal="center" vertical="center" wrapText="1"/>
    </xf>
    <xf numFmtId="0" fontId="46" fillId="2" borderId="6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 fillId="2" borderId="51" xfId="0" applyFont="1" applyFill="1" applyBorder="1" applyAlignment="1">
      <alignment horizontal="right" vertical="center" wrapText="1" indent="1"/>
    </xf>
    <xf numFmtId="0" fontId="38" fillId="2" borderId="36" xfId="0" applyFont="1" applyFill="1" applyBorder="1" applyAlignment="1">
      <alignment horizontal="right" vertical="center" wrapText="1" indent="1"/>
    </xf>
    <xf numFmtId="0" fontId="38" fillId="2" borderId="44" xfId="0" applyFont="1" applyFill="1" applyBorder="1" applyAlignment="1">
      <alignment horizontal="right" vertical="center" wrapText="1" indent="1"/>
    </xf>
    <xf numFmtId="0" fontId="10" fillId="13" borderId="66" xfId="0" applyFont="1" applyFill="1" applyBorder="1" applyAlignment="1">
      <alignment horizontal="left" vertical="center" wrapText="1" indent="1"/>
    </xf>
    <xf numFmtId="0" fontId="10" fillId="13" borderId="45" xfId="0" applyFont="1" applyFill="1" applyBorder="1" applyAlignment="1">
      <alignment horizontal="left" vertical="center" wrapText="1" indent="1"/>
    </xf>
    <xf numFmtId="0" fontId="10" fillId="13" borderId="26" xfId="0" applyFont="1" applyFill="1" applyBorder="1" applyAlignment="1">
      <alignment horizontal="left" vertical="center" wrapText="1"/>
    </xf>
    <xf numFmtId="0" fontId="10" fillId="13" borderId="69" xfId="0" applyFont="1" applyFill="1" applyBorder="1" applyAlignment="1">
      <alignment horizontal="left" vertical="center" wrapText="1"/>
    </xf>
    <xf numFmtId="0" fontId="10" fillId="13" borderId="0" xfId="0" applyFont="1" applyFill="1" applyAlignment="1">
      <alignment horizontal="left" vertical="center" wrapText="1"/>
    </xf>
    <xf numFmtId="0" fontId="10" fillId="13" borderId="64" xfId="0" applyFont="1" applyFill="1" applyBorder="1" applyAlignment="1">
      <alignment horizontal="left" vertical="center" wrapText="1"/>
    </xf>
    <xf numFmtId="0" fontId="15" fillId="3" borderId="20" xfId="0" applyFont="1" applyFill="1" applyBorder="1" applyAlignment="1">
      <alignment horizontal="center" vertical="center"/>
    </xf>
    <xf numFmtId="0" fontId="10" fillId="0" borderId="5" xfId="0" applyFont="1" applyBorder="1" applyAlignment="1">
      <alignment horizontal="center" vertical="center"/>
    </xf>
    <xf numFmtId="0" fontId="30" fillId="21" borderId="45" xfId="0" applyFont="1" applyFill="1" applyBorder="1" applyAlignment="1">
      <alignment horizontal="left" vertical="top" wrapText="1"/>
    </xf>
    <xf numFmtId="0" fontId="30" fillId="21" borderId="0" xfId="0" applyFont="1" applyFill="1" applyAlignment="1">
      <alignment horizontal="left" vertical="top" wrapText="1"/>
    </xf>
    <xf numFmtId="0" fontId="30" fillId="21" borderId="64" xfId="0" applyFont="1" applyFill="1" applyBorder="1" applyAlignment="1">
      <alignment horizontal="left" vertical="top" wrapText="1"/>
    </xf>
    <xf numFmtId="0" fontId="47" fillId="21" borderId="66" xfId="0" applyFont="1" applyFill="1" applyBorder="1" applyAlignment="1">
      <alignment horizontal="left" vertical="center"/>
    </xf>
    <xf numFmtId="0" fontId="47" fillId="21" borderId="26" xfId="0" applyFont="1" applyFill="1" applyBorder="1" applyAlignment="1">
      <alignment horizontal="left" vertical="center"/>
    </xf>
    <xf numFmtId="0" fontId="47" fillId="21" borderId="69" xfId="0" applyFont="1" applyFill="1" applyBorder="1" applyAlignment="1">
      <alignment horizontal="left" vertical="center"/>
    </xf>
    <xf numFmtId="0" fontId="47" fillId="21" borderId="45" xfId="0" applyFont="1" applyFill="1" applyBorder="1" applyAlignment="1">
      <alignment horizontal="left" vertical="center"/>
    </xf>
    <xf numFmtId="0" fontId="47" fillId="21" borderId="0" xfId="0" applyFont="1" applyFill="1" applyAlignment="1">
      <alignment horizontal="left" vertical="center"/>
    </xf>
    <xf numFmtId="0" fontId="47" fillId="21" borderId="64" xfId="0" applyFont="1" applyFill="1" applyBorder="1" applyAlignment="1">
      <alignment horizontal="left" vertical="center"/>
    </xf>
    <xf numFmtId="0" fontId="30" fillId="21" borderId="51" xfId="0" applyFont="1" applyFill="1" applyBorder="1" applyAlignment="1">
      <alignment horizontal="left" vertical="top" wrapText="1"/>
    </xf>
    <xf numFmtId="0" fontId="30" fillId="21" borderId="36" xfId="0" applyFont="1" applyFill="1" applyBorder="1" applyAlignment="1">
      <alignment horizontal="left" vertical="top" wrapText="1"/>
    </xf>
    <xf numFmtId="0" fontId="30" fillId="21" borderId="44" xfId="0" applyFont="1" applyFill="1" applyBorder="1" applyAlignment="1">
      <alignment horizontal="left" vertical="top" wrapText="1"/>
    </xf>
    <xf numFmtId="0" fontId="15" fillId="8" borderId="18"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46" fillId="9" borderId="23" xfId="0" applyFont="1" applyFill="1" applyBorder="1" applyAlignment="1">
      <alignment horizontal="center" vertical="center" wrapText="1"/>
    </xf>
    <xf numFmtId="0" fontId="46" fillId="9" borderId="25" xfId="0" applyFont="1" applyFill="1" applyBorder="1" applyAlignment="1">
      <alignment horizontal="center" vertical="center" wrapText="1"/>
    </xf>
    <xf numFmtId="0" fontId="46" fillId="9" borderId="33" xfId="0" applyFont="1" applyFill="1" applyBorder="1" applyAlignment="1">
      <alignment horizontal="center" vertical="center" wrapText="1"/>
    </xf>
    <xf numFmtId="0" fontId="15" fillId="11" borderId="20" xfId="0" applyFont="1" applyFill="1" applyBorder="1" applyAlignment="1">
      <alignment horizontal="center" vertical="center"/>
    </xf>
    <xf numFmtId="0" fontId="14" fillId="12" borderId="51" xfId="0" applyFont="1" applyFill="1" applyBorder="1" applyAlignment="1">
      <alignment horizontal="left" vertical="center" wrapText="1"/>
    </xf>
    <xf numFmtId="0" fontId="14" fillId="12" borderId="36" xfId="0" applyFont="1" applyFill="1" applyBorder="1" applyAlignment="1">
      <alignment horizontal="left" vertical="center" wrapText="1"/>
    </xf>
    <xf numFmtId="0" fontId="14" fillId="12" borderId="44" xfId="0" applyFont="1" applyFill="1" applyBorder="1" applyAlignment="1">
      <alignment horizontal="left" vertical="center" wrapText="1"/>
    </xf>
    <xf numFmtId="0" fontId="15" fillId="19" borderId="66" xfId="0" applyFont="1" applyFill="1" applyBorder="1" applyAlignment="1">
      <alignment horizontal="center" vertical="center" wrapText="1"/>
    </xf>
    <xf numFmtId="0" fontId="15" fillId="19" borderId="26" xfId="0" applyFont="1" applyFill="1" applyBorder="1" applyAlignment="1">
      <alignment horizontal="center" vertical="center" wrapText="1"/>
    </xf>
    <xf numFmtId="0" fontId="15" fillId="19" borderId="45" xfId="0" applyFont="1" applyFill="1" applyBorder="1" applyAlignment="1">
      <alignment horizontal="center" vertical="center" wrapText="1"/>
    </xf>
    <xf numFmtId="0" fontId="15" fillId="19" borderId="0" xfId="0" applyFont="1" applyFill="1" applyAlignment="1">
      <alignment horizontal="center" vertical="center" wrapText="1"/>
    </xf>
    <xf numFmtId="0" fontId="15" fillId="19" borderId="51" xfId="0" applyFont="1" applyFill="1" applyBorder="1" applyAlignment="1">
      <alignment horizontal="center" vertical="center" wrapText="1"/>
    </xf>
    <xf numFmtId="0" fontId="15" fillId="19" borderId="36" xfId="0" applyFont="1" applyFill="1" applyBorder="1" applyAlignment="1">
      <alignment horizontal="center" vertical="center" wrapText="1"/>
    </xf>
    <xf numFmtId="0" fontId="10" fillId="19" borderId="26" xfId="0" applyFont="1" applyFill="1" applyBorder="1" applyAlignment="1">
      <alignment horizontal="left" wrapText="1"/>
    </xf>
    <xf numFmtId="0" fontId="10" fillId="19" borderId="69" xfId="0" applyFont="1" applyFill="1" applyBorder="1" applyAlignment="1">
      <alignment horizontal="left" wrapText="1"/>
    </xf>
    <xf numFmtId="0" fontId="10" fillId="19" borderId="36" xfId="0" applyFont="1" applyFill="1" applyBorder="1" applyAlignment="1">
      <alignment horizontal="left" vertical="top" wrapText="1"/>
    </xf>
    <xf numFmtId="0" fontId="12" fillId="19" borderId="36" xfId="0" applyFont="1" applyFill="1" applyBorder="1" applyAlignment="1">
      <alignment horizontal="left" vertical="top" wrapText="1"/>
    </xf>
    <xf numFmtId="0" fontId="12" fillId="19" borderId="44" xfId="0" applyFont="1" applyFill="1" applyBorder="1" applyAlignment="1">
      <alignment horizontal="left" vertical="top" wrapText="1"/>
    </xf>
    <xf numFmtId="0" fontId="14" fillId="9" borderId="66"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9" fillId="9" borderId="25" xfId="0" applyFont="1" applyFill="1" applyBorder="1" applyAlignment="1">
      <alignment horizontal="center" vertical="center" wrapText="1"/>
    </xf>
    <xf numFmtId="0" fontId="39" fillId="9" borderId="33"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20" fillId="0" borderId="18"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30" fillId="0" borderId="5" xfId="0" applyFont="1" applyBorder="1" applyAlignment="1">
      <alignment horizontal="center"/>
    </xf>
    <xf numFmtId="0" fontId="10" fillId="14" borderId="66" xfId="0" applyFont="1" applyFill="1" applyBorder="1" applyAlignment="1">
      <alignment horizontal="left" vertical="center" wrapText="1" indent="1"/>
    </xf>
    <xf numFmtId="0" fontId="10" fillId="14" borderId="45" xfId="0" applyFont="1" applyFill="1" applyBorder="1" applyAlignment="1">
      <alignment horizontal="left" vertical="center" wrapText="1" indent="1"/>
    </xf>
    <xf numFmtId="0" fontId="12" fillId="6" borderId="14"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0" fillId="0" borderId="18"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1" fillId="22" borderId="38" xfId="0" applyFont="1" applyFill="1" applyBorder="1" applyAlignment="1">
      <alignment horizontal="center" vertical="center" wrapText="1"/>
    </xf>
    <xf numFmtId="0" fontId="11" fillId="22" borderId="42" xfId="0" applyFont="1" applyFill="1" applyBorder="1" applyAlignment="1">
      <alignment horizontal="center" vertical="center" wrapText="1"/>
    </xf>
    <xf numFmtId="0" fontId="47" fillId="21" borderId="52" xfId="0" applyFont="1" applyFill="1" applyBorder="1" applyAlignment="1">
      <alignment horizontal="left" vertical="center"/>
    </xf>
    <xf numFmtId="0" fontId="47" fillId="21" borderId="19" xfId="0" applyFont="1" applyFill="1" applyBorder="1" applyAlignment="1">
      <alignment horizontal="left" vertical="center"/>
    </xf>
    <xf numFmtId="0" fontId="47" fillId="21" borderId="21" xfId="0" applyFont="1" applyFill="1" applyBorder="1" applyAlignment="1">
      <alignment horizontal="left" vertical="center"/>
    </xf>
    <xf numFmtId="0" fontId="58" fillId="0" borderId="45" xfId="0" applyFont="1" applyBorder="1" applyAlignment="1" applyProtection="1">
      <alignment horizontal="center" vertical="top"/>
      <protection locked="0"/>
    </xf>
    <xf numFmtId="0" fontId="58" fillId="0" borderId="0" xfId="0" applyFont="1" applyAlignment="1" applyProtection="1">
      <alignment horizontal="center" vertical="top"/>
      <protection locked="0"/>
    </xf>
    <xf numFmtId="0" fontId="58" fillId="0" borderId="64" xfId="0" applyFont="1" applyBorder="1" applyAlignment="1" applyProtection="1">
      <alignment horizontal="center" vertical="top"/>
      <protection locked="0"/>
    </xf>
    <xf numFmtId="0" fontId="58" fillId="0" borderId="51" xfId="0" applyFont="1" applyBorder="1" applyAlignment="1" applyProtection="1">
      <alignment horizontal="center" vertical="top"/>
      <protection locked="0"/>
    </xf>
    <xf numFmtId="0" fontId="58" fillId="0" borderId="36" xfId="0" applyFont="1" applyBorder="1" applyAlignment="1" applyProtection="1">
      <alignment horizontal="center" vertical="top"/>
      <protection locked="0"/>
    </xf>
    <xf numFmtId="0" fontId="58" fillId="0" borderId="44" xfId="0" applyFont="1" applyBorder="1" applyAlignment="1" applyProtection="1">
      <alignment horizontal="center" vertical="top"/>
      <protection locked="0"/>
    </xf>
    <xf numFmtId="0" fontId="29" fillId="0" borderId="0" xfId="0" applyFont="1" applyAlignment="1">
      <alignment horizontal="left" vertical="top" wrapText="1"/>
    </xf>
    <xf numFmtId="0" fontId="15" fillId="21" borderId="30" xfId="0" applyFont="1" applyFill="1" applyBorder="1" applyAlignment="1">
      <alignment horizontal="left" vertical="center"/>
    </xf>
    <xf numFmtId="0" fontId="15" fillId="21" borderId="31" xfId="0" applyFont="1" applyFill="1" applyBorder="1" applyAlignment="1">
      <alignment horizontal="left" vertical="center"/>
    </xf>
    <xf numFmtId="0" fontId="12" fillId="18" borderId="0" xfId="0" applyFont="1" applyFill="1" applyAlignment="1">
      <alignment horizontal="left" vertical="center" wrapText="1"/>
    </xf>
    <xf numFmtId="0" fontId="10" fillId="4" borderId="30"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20" fillId="22" borderId="18" xfId="0" applyFont="1" applyFill="1" applyBorder="1" applyAlignment="1">
      <alignment horizontal="center" vertical="center" wrapText="1"/>
    </xf>
    <xf numFmtId="0" fontId="20" fillId="22" borderId="21" xfId="0" applyFont="1" applyFill="1" applyBorder="1" applyAlignment="1">
      <alignment horizontal="center" vertical="center" wrapText="1"/>
    </xf>
    <xf numFmtId="0" fontId="0" fillId="4" borderId="45" xfId="0" applyFill="1" applyBorder="1" applyAlignment="1">
      <alignment horizontal="center"/>
    </xf>
    <xf numFmtId="0" fontId="0" fillId="4" borderId="0" xfId="0" applyFill="1" applyAlignment="1">
      <alignment horizontal="center"/>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16" borderId="59" xfId="0" applyFill="1" applyBorder="1" applyAlignment="1">
      <alignment horizontal="center" vertical="center"/>
    </xf>
    <xf numFmtId="0" fontId="0" fillId="16" borderId="60" xfId="0" applyFill="1" applyBorder="1" applyAlignment="1">
      <alignment horizontal="center" vertical="center"/>
    </xf>
    <xf numFmtId="0" fontId="0" fillId="16" borderId="54" xfId="0" applyFill="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2" borderId="0" xfId="0" applyFont="1" applyFill="1" applyBorder="1" applyAlignment="1">
      <alignment horizontal="center" vertical="center" wrapText="1"/>
    </xf>
    <xf numFmtId="0" fontId="2" fillId="2" borderId="14" xfId="0" applyFont="1" applyFill="1" applyBorder="1" applyAlignment="1">
      <alignment horizontal="right" vertical="center" wrapText="1"/>
    </xf>
    <xf numFmtId="0" fontId="38" fillId="2" borderId="15" xfId="0" applyFont="1" applyFill="1" applyBorder="1" applyAlignment="1">
      <alignment horizontal="right" vertical="center" wrapText="1"/>
    </xf>
    <xf numFmtId="0" fontId="38" fillId="2" borderId="16" xfId="0" applyFont="1" applyFill="1" applyBorder="1" applyAlignment="1">
      <alignment horizontal="right" vertical="center" wrapText="1"/>
    </xf>
  </cellXfs>
  <cellStyles count="5">
    <cellStyle name="Hypertextový odkaz" xfId="1" builtinId="8"/>
    <cellStyle name="Normálna 2" xfId="4" xr:uid="{00000000-0005-0000-0000-000001000000}"/>
    <cellStyle name="normálne_DPH od 1.1.2004" xfId="3" xr:uid="{00000000-0005-0000-0000-000002000000}"/>
    <cellStyle name="Normální" xfId="0" builtinId="0"/>
    <cellStyle name="Normální 2" xfId="2" xr:uid="{00000000-0005-0000-0000-000004000000}"/>
  </cellStyles>
  <dxfs count="380">
    <dxf>
      <font>
        <color theme="2" tint="-9.9948118533890809E-2"/>
      </font>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0"/>
      </font>
      <fill>
        <patternFill>
          <bgColor theme="0"/>
        </patternFill>
      </fill>
      <border>
        <left/>
        <right/>
        <top/>
        <bottom/>
      </border>
    </dxf>
    <dxf>
      <fill>
        <patternFill>
          <bgColor theme="2" tint="-9.9948118533890809E-2"/>
        </patternFill>
      </fill>
    </dxf>
    <dxf>
      <font>
        <color theme="2" tint="-9.9948118533890809E-2"/>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dxf>
    <dxf>
      <font>
        <color theme="2" tint="-9.9948118533890809E-2"/>
      </font>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rgb="FFCAD2DC"/>
      </font>
    </dxf>
    <dxf>
      <font>
        <color theme="7" tint="0.7999816888943144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ill>
        <patternFill>
          <bgColor theme="7" tint="0.59996337778862885"/>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color theme="9" tint="-0.24994659260841701"/>
      </font>
    </dxf>
    <dxf>
      <font>
        <color theme="8" tint="-0.24994659260841701"/>
      </font>
    </dxf>
    <dxf>
      <font>
        <color theme="5" tint="-0.24994659260841701"/>
      </font>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ill>
        <patternFill>
          <bgColor theme="4" tint="0.79998168889431442"/>
        </patternFill>
      </fill>
    </dxf>
    <dxf>
      <fill>
        <patternFill>
          <bgColor theme="4"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auto="1"/>
      </font>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AD2DC"/>
      <color rgb="FFCFE4EB"/>
      <color rgb="FFE7E6E6"/>
      <color rgb="FFD0CECE"/>
      <color rgb="FFECECEC"/>
      <color rgb="FFF3F3F3"/>
      <color rgb="FFFF9393"/>
      <color rgb="FFD6BBEB"/>
      <color rgb="FFFFFFCC"/>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1697831</xdr:colOff>
      <xdr:row>14</xdr:row>
      <xdr:rowOff>90487</xdr:rowOff>
    </xdr:from>
    <xdr:ext cx="65" cy="172227"/>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41831" y="4257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cs-CZ" sz="1100"/>
        </a:p>
      </xdr:txBody>
    </xdr:sp>
    <xdr:clientData/>
  </xdr:oneCellAnchor>
  <xdr:twoCellAnchor editAs="oneCell">
    <xdr:from>
      <xdr:col>1</xdr:col>
      <xdr:colOff>194672</xdr:colOff>
      <xdr:row>8</xdr:row>
      <xdr:rowOff>57219</xdr:rowOff>
    </xdr:from>
    <xdr:to>
      <xdr:col>1</xdr:col>
      <xdr:colOff>571835</xdr:colOff>
      <xdr:row>8</xdr:row>
      <xdr:rowOff>431623</xdr:rowOff>
    </xdr:to>
    <xdr:pic>
      <xdr:nvPicPr>
        <xdr:cNvPr id="4" name="Obrázek 3">
          <a:extLst>
            <a:ext uri="{FF2B5EF4-FFF2-40B4-BE49-F238E27FC236}">
              <a16:creationId xmlns:a16="http://schemas.microsoft.com/office/drawing/2014/main" id="{094C6B66-F02C-3AF5-B3B8-56C952217AFC}"/>
            </a:ext>
          </a:extLst>
        </xdr:cNvPr>
        <xdr:cNvPicPr>
          <a:picLocks noChangeAspect="1"/>
        </xdr:cNvPicPr>
      </xdr:nvPicPr>
      <xdr:blipFill>
        <a:blip xmlns:r="http://schemas.openxmlformats.org/officeDocument/2006/relationships" r:embed="rId1"/>
        <a:stretch>
          <a:fillRect/>
        </a:stretch>
      </xdr:blipFill>
      <xdr:spPr>
        <a:xfrm rot="6739397">
          <a:off x="672302" y="1728667"/>
          <a:ext cx="374404" cy="377163"/>
        </a:xfrm>
        <a:prstGeom prst="rect">
          <a:avLst/>
        </a:prstGeom>
      </xdr:spPr>
    </xdr:pic>
    <xdr:clientData/>
  </xdr:twoCellAnchor>
  <xdr:twoCellAnchor editAs="oneCell">
    <xdr:from>
      <xdr:col>1</xdr:col>
      <xdr:colOff>162525</xdr:colOff>
      <xdr:row>10</xdr:row>
      <xdr:rowOff>60791</xdr:rowOff>
    </xdr:from>
    <xdr:to>
      <xdr:col>1</xdr:col>
      <xdr:colOff>539688</xdr:colOff>
      <xdr:row>10</xdr:row>
      <xdr:rowOff>435195</xdr:rowOff>
    </xdr:to>
    <xdr:pic>
      <xdr:nvPicPr>
        <xdr:cNvPr id="8" name="Obrázek 7">
          <a:extLst>
            <a:ext uri="{FF2B5EF4-FFF2-40B4-BE49-F238E27FC236}">
              <a16:creationId xmlns:a16="http://schemas.microsoft.com/office/drawing/2014/main" id="{5C3F5609-5994-45CB-8C87-6E8AE1B37B09}"/>
            </a:ext>
          </a:extLst>
        </xdr:cNvPr>
        <xdr:cNvPicPr>
          <a:picLocks noChangeAspect="1"/>
        </xdr:cNvPicPr>
      </xdr:nvPicPr>
      <xdr:blipFill>
        <a:blip xmlns:r="http://schemas.openxmlformats.org/officeDocument/2006/relationships" r:embed="rId1"/>
        <a:stretch>
          <a:fillRect/>
        </a:stretch>
      </xdr:blipFill>
      <xdr:spPr>
        <a:xfrm rot="6739397">
          <a:off x="640155" y="2416849"/>
          <a:ext cx="374404" cy="377163"/>
        </a:xfrm>
        <a:prstGeom prst="rect">
          <a:avLst/>
        </a:prstGeom>
      </xdr:spPr>
    </xdr:pic>
    <xdr:clientData/>
  </xdr:twoCellAnchor>
  <xdr:twoCellAnchor editAs="oneCell">
    <xdr:from>
      <xdr:col>1</xdr:col>
      <xdr:colOff>166099</xdr:colOff>
      <xdr:row>12</xdr:row>
      <xdr:rowOff>52456</xdr:rowOff>
    </xdr:from>
    <xdr:to>
      <xdr:col>1</xdr:col>
      <xdr:colOff>543262</xdr:colOff>
      <xdr:row>12</xdr:row>
      <xdr:rowOff>426860</xdr:rowOff>
    </xdr:to>
    <xdr:pic>
      <xdr:nvPicPr>
        <xdr:cNvPr id="9" name="Obrázek 8">
          <a:extLst>
            <a:ext uri="{FF2B5EF4-FFF2-40B4-BE49-F238E27FC236}">
              <a16:creationId xmlns:a16="http://schemas.microsoft.com/office/drawing/2014/main" id="{35E60EC3-3134-4253-AAE1-DFE77A47AA7F}"/>
            </a:ext>
          </a:extLst>
        </xdr:cNvPr>
        <xdr:cNvPicPr>
          <a:picLocks noChangeAspect="1"/>
        </xdr:cNvPicPr>
      </xdr:nvPicPr>
      <xdr:blipFill>
        <a:blip xmlns:r="http://schemas.openxmlformats.org/officeDocument/2006/relationships" r:embed="rId1"/>
        <a:stretch>
          <a:fillRect/>
        </a:stretch>
      </xdr:blipFill>
      <xdr:spPr>
        <a:xfrm rot="6739397">
          <a:off x="643729" y="3093123"/>
          <a:ext cx="374404" cy="377163"/>
        </a:xfrm>
        <a:prstGeom prst="rect">
          <a:avLst/>
        </a:prstGeom>
      </xdr:spPr>
    </xdr:pic>
    <xdr:clientData/>
  </xdr:twoCellAnchor>
  <xdr:twoCellAnchor editAs="oneCell">
    <xdr:from>
      <xdr:col>1</xdr:col>
      <xdr:colOff>157765</xdr:colOff>
      <xdr:row>14</xdr:row>
      <xdr:rowOff>61981</xdr:rowOff>
    </xdr:from>
    <xdr:to>
      <xdr:col>1</xdr:col>
      <xdr:colOff>534928</xdr:colOff>
      <xdr:row>14</xdr:row>
      <xdr:rowOff>436385</xdr:rowOff>
    </xdr:to>
    <xdr:pic>
      <xdr:nvPicPr>
        <xdr:cNvPr id="10" name="Obrázek 9">
          <a:extLst>
            <a:ext uri="{FF2B5EF4-FFF2-40B4-BE49-F238E27FC236}">
              <a16:creationId xmlns:a16="http://schemas.microsoft.com/office/drawing/2014/main" id="{C1F27235-D279-4C78-BB5B-71D42ECC7BBC}"/>
            </a:ext>
          </a:extLst>
        </xdr:cNvPr>
        <xdr:cNvPicPr>
          <a:picLocks noChangeAspect="1"/>
        </xdr:cNvPicPr>
      </xdr:nvPicPr>
      <xdr:blipFill>
        <a:blip xmlns:r="http://schemas.openxmlformats.org/officeDocument/2006/relationships" r:embed="rId1"/>
        <a:stretch>
          <a:fillRect/>
        </a:stretch>
      </xdr:blipFill>
      <xdr:spPr>
        <a:xfrm rot="6739397">
          <a:off x="635395" y="3787257"/>
          <a:ext cx="374404" cy="377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162983</xdr:colOff>
      <xdr:row>74</xdr:row>
      <xdr:rowOff>0</xdr:rowOff>
    </xdr:from>
    <xdr:to>
      <xdr:col>1</xdr:col>
      <xdr:colOff>540146</xdr:colOff>
      <xdr:row>75</xdr:row>
      <xdr:rowOff>173321</xdr:rowOff>
    </xdr:to>
    <xdr:pic>
      <xdr:nvPicPr>
        <xdr:cNvPr id="2" name="Obrázek 1">
          <a:extLst>
            <a:ext uri="{FF2B5EF4-FFF2-40B4-BE49-F238E27FC236}">
              <a16:creationId xmlns:a16="http://schemas.microsoft.com/office/drawing/2014/main" id="{6B743FFF-8F9E-4209-8D15-B8AC58C03208}"/>
            </a:ext>
          </a:extLst>
        </xdr:cNvPr>
        <xdr:cNvPicPr>
          <a:picLocks noChangeAspect="1"/>
        </xdr:cNvPicPr>
      </xdr:nvPicPr>
      <xdr:blipFill>
        <a:blip xmlns:r="http://schemas.openxmlformats.org/officeDocument/2006/relationships" r:embed="rId1"/>
        <a:stretch>
          <a:fillRect/>
        </a:stretch>
      </xdr:blipFill>
      <xdr:spPr>
        <a:xfrm rot="6739397">
          <a:off x="545892" y="21381716"/>
          <a:ext cx="373346" cy="3771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148167</xdr:colOff>
      <xdr:row>63</xdr:row>
      <xdr:rowOff>0</xdr:rowOff>
    </xdr:from>
    <xdr:to>
      <xdr:col>1</xdr:col>
      <xdr:colOff>525330</xdr:colOff>
      <xdr:row>65</xdr:row>
      <xdr:rowOff>11396</xdr:rowOff>
    </xdr:to>
    <xdr:pic>
      <xdr:nvPicPr>
        <xdr:cNvPr id="2" name="Obrázek 1">
          <a:extLst>
            <a:ext uri="{FF2B5EF4-FFF2-40B4-BE49-F238E27FC236}">
              <a16:creationId xmlns:a16="http://schemas.microsoft.com/office/drawing/2014/main" id="{98D502C2-E2A9-4EC0-B2B4-664F44DD04D8}"/>
            </a:ext>
          </a:extLst>
        </xdr:cNvPr>
        <xdr:cNvPicPr>
          <a:picLocks noChangeAspect="1"/>
        </xdr:cNvPicPr>
      </xdr:nvPicPr>
      <xdr:blipFill>
        <a:blip xmlns:r="http://schemas.openxmlformats.org/officeDocument/2006/relationships" r:embed="rId1"/>
        <a:stretch>
          <a:fillRect/>
        </a:stretch>
      </xdr:blipFill>
      <xdr:spPr>
        <a:xfrm rot="6739397">
          <a:off x="510967" y="17544200"/>
          <a:ext cx="413563" cy="377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137584</xdr:colOff>
      <xdr:row>64</xdr:row>
      <xdr:rowOff>1</xdr:rowOff>
    </xdr:from>
    <xdr:to>
      <xdr:col>1</xdr:col>
      <xdr:colOff>514747</xdr:colOff>
      <xdr:row>66</xdr:row>
      <xdr:rowOff>11398</xdr:rowOff>
    </xdr:to>
    <xdr:pic>
      <xdr:nvPicPr>
        <xdr:cNvPr id="2" name="Obrázek 1">
          <a:extLst>
            <a:ext uri="{FF2B5EF4-FFF2-40B4-BE49-F238E27FC236}">
              <a16:creationId xmlns:a16="http://schemas.microsoft.com/office/drawing/2014/main" id="{69D96AED-7AFC-454C-97B5-E12922A8A116}"/>
            </a:ext>
          </a:extLst>
        </xdr:cNvPr>
        <xdr:cNvPicPr>
          <a:picLocks noChangeAspect="1"/>
        </xdr:cNvPicPr>
      </xdr:nvPicPr>
      <xdr:blipFill>
        <a:blip xmlns:r="http://schemas.openxmlformats.org/officeDocument/2006/relationships" r:embed="rId1"/>
        <a:stretch>
          <a:fillRect/>
        </a:stretch>
      </xdr:blipFill>
      <xdr:spPr>
        <a:xfrm rot="6739397">
          <a:off x="500385" y="17396033"/>
          <a:ext cx="413562" cy="3771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137584</xdr:colOff>
      <xdr:row>63</xdr:row>
      <xdr:rowOff>0</xdr:rowOff>
    </xdr:from>
    <xdr:to>
      <xdr:col>1</xdr:col>
      <xdr:colOff>514747</xdr:colOff>
      <xdr:row>65</xdr:row>
      <xdr:rowOff>11392</xdr:rowOff>
    </xdr:to>
    <xdr:pic>
      <xdr:nvPicPr>
        <xdr:cNvPr id="2" name="Obrázek 1">
          <a:extLst>
            <a:ext uri="{FF2B5EF4-FFF2-40B4-BE49-F238E27FC236}">
              <a16:creationId xmlns:a16="http://schemas.microsoft.com/office/drawing/2014/main" id="{EC2767B4-F514-4C16-885E-D46E52B336EA}"/>
            </a:ext>
          </a:extLst>
        </xdr:cNvPr>
        <xdr:cNvPicPr>
          <a:picLocks noChangeAspect="1"/>
        </xdr:cNvPicPr>
      </xdr:nvPicPr>
      <xdr:blipFill>
        <a:blip xmlns:r="http://schemas.openxmlformats.org/officeDocument/2006/relationships" r:embed="rId1"/>
        <a:stretch>
          <a:fillRect/>
        </a:stretch>
      </xdr:blipFill>
      <xdr:spPr>
        <a:xfrm rot="6739397">
          <a:off x="500385" y="17396032"/>
          <a:ext cx="413561" cy="3771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130377</xdr:colOff>
      <xdr:row>30</xdr:row>
      <xdr:rowOff>24212</xdr:rowOff>
    </xdr:from>
    <xdr:to>
      <xdr:col>55</xdr:col>
      <xdr:colOff>44543</xdr:colOff>
      <xdr:row>51</xdr:row>
      <xdr:rowOff>81545</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87056" y="7793891"/>
          <a:ext cx="15929776" cy="4704582"/>
        </a:xfrm>
        <a:prstGeom prst="rect">
          <a:avLst/>
        </a:prstGeom>
        <a:ln w="57150">
          <a:solidFill>
            <a:srgbClr val="FF0000"/>
          </a:solidFill>
        </a:ln>
      </xdr:spPr>
    </xdr:pic>
    <xdr:clientData/>
  </xdr:twoCellAnchor>
  <mc:AlternateContent xmlns:mc="http://schemas.openxmlformats.org/markup-compatibility/2006">
    <mc:Choice xmlns:a14="http://schemas.microsoft.com/office/drawing/2010/main" Requires="a14">
      <xdr:twoCellAnchor editAs="oneCell">
        <xdr:from>
          <xdr:col>1</xdr:col>
          <xdr:colOff>4267200</xdr:colOff>
          <xdr:row>43</xdr:row>
          <xdr:rowOff>9525</xdr:rowOff>
        </xdr:from>
        <xdr:to>
          <xdr:col>1</xdr:col>
          <xdr:colOff>4476750</xdr:colOff>
          <xdr:row>44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C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45</xdr:row>
          <xdr:rowOff>9525</xdr:rowOff>
        </xdr:from>
        <xdr:to>
          <xdr:col>1</xdr:col>
          <xdr:colOff>4476750</xdr:colOff>
          <xdr:row>46</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C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46</xdr:row>
          <xdr:rowOff>9525</xdr:rowOff>
        </xdr:from>
        <xdr:to>
          <xdr:col>1</xdr:col>
          <xdr:colOff>4476750</xdr:colOff>
          <xdr:row>47</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C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47</xdr:row>
          <xdr:rowOff>9525</xdr:rowOff>
        </xdr:from>
        <xdr:to>
          <xdr:col>1</xdr:col>
          <xdr:colOff>4476750</xdr:colOff>
          <xdr:row>48</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C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48</xdr:row>
          <xdr:rowOff>9525</xdr:rowOff>
        </xdr:from>
        <xdr:to>
          <xdr:col>1</xdr:col>
          <xdr:colOff>4476750</xdr:colOff>
          <xdr:row>49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C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107</xdr:row>
          <xdr:rowOff>9525</xdr:rowOff>
        </xdr:from>
        <xdr:to>
          <xdr:col>1</xdr:col>
          <xdr:colOff>4476750</xdr:colOff>
          <xdr:row>108</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C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109</xdr:row>
          <xdr:rowOff>9525</xdr:rowOff>
        </xdr:from>
        <xdr:to>
          <xdr:col>1</xdr:col>
          <xdr:colOff>4476750</xdr:colOff>
          <xdr:row>110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C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111</xdr:row>
          <xdr:rowOff>9525</xdr:rowOff>
        </xdr:from>
        <xdr:to>
          <xdr:col>1</xdr:col>
          <xdr:colOff>4476750</xdr:colOff>
          <xdr:row>112</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C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113</xdr:row>
          <xdr:rowOff>9525</xdr:rowOff>
        </xdr:from>
        <xdr:to>
          <xdr:col>1</xdr:col>
          <xdr:colOff>4476750</xdr:colOff>
          <xdr:row>114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C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115</xdr:row>
          <xdr:rowOff>9525</xdr:rowOff>
        </xdr:from>
        <xdr:to>
          <xdr:col>1</xdr:col>
          <xdr:colOff>4476750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C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117</xdr:row>
          <xdr:rowOff>9525</xdr:rowOff>
        </xdr:from>
        <xdr:to>
          <xdr:col>1</xdr:col>
          <xdr:colOff>4476750</xdr:colOff>
          <xdr:row>118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C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119</xdr:row>
          <xdr:rowOff>9525</xdr:rowOff>
        </xdr:from>
        <xdr:to>
          <xdr:col>1</xdr:col>
          <xdr:colOff>4476750</xdr:colOff>
          <xdr:row>120</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C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120</xdr:row>
          <xdr:rowOff>9525</xdr:rowOff>
        </xdr:from>
        <xdr:to>
          <xdr:col>1</xdr:col>
          <xdr:colOff>4476750</xdr:colOff>
          <xdr:row>121</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C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121</xdr:row>
          <xdr:rowOff>9525</xdr:rowOff>
        </xdr:from>
        <xdr:to>
          <xdr:col>1</xdr:col>
          <xdr:colOff>4476750</xdr:colOff>
          <xdr:row>122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C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122</xdr:row>
          <xdr:rowOff>9525</xdr:rowOff>
        </xdr:from>
        <xdr:to>
          <xdr:col>1</xdr:col>
          <xdr:colOff>4476750</xdr:colOff>
          <xdr:row>123</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C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181</xdr:row>
          <xdr:rowOff>9525</xdr:rowOff>
        </xdr:from>
        <xdr:to>
          <xdr:col>1</xdr:col>
          <xdr:colOff>4476750</xdr:colOff>
          <xdr:row>182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C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183</xdr:row>
          <xdr:rowOff>9525</xdr:rowOff>
        </xdr:from>
        <xdr:to>
          <xdr:col>1</xdr:col>
          <xdr:colOff>4476750</xdr:colOff>
          <xdr:row>184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C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185</xdr:row>
          <xdr:rowOff>9525</xdr:rowOff>
        </xdr:from>
        <xdr:to>
          <xdr:col>1</xdr:col>
          <xdr:colOff>4476750</xdr:colOff>
          <xdr:row>186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C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187</xdr:row>
          <xdr:rowOff>9525</xdr:rowOff>
        </xdr:from>
        <xdr:to>
          <xdr:col>1</xdr:col>
          <xdr:colOff>4476750</xdr:colOff>
          <xdr:row>188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C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189</xdr:row>
          <xdr:rowOff>9525</xdr:rowOff>
        </xdr:from>
        <xdr:to>
          <xdr:col>1</xdr:col>
          <xdr:colOff>4476750</xdr:colOff>
          <xdr:row>190</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C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191</xdr:row>
          <xdr:rowOff>9525</xdr:rowOff>
        </xdr:from>
        <xdr:to>
          <xdr:col>1</xdr:col>
          <xdr:colOff>4476750</xdr:colOff>
          <xdr:row>192</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C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193</xdr:row>
          <xdr:rowOff>9525</xdr:rowOff>
        </xdr:from>
        <xdr:to>
          <xdr:col>1</xdr:col>
          <xdr:colOff>4476750</xdr:colOff>
          <xdr:row>194</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C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194</xdr:row>
          <xdr:rowOff>9525</xdr:rowOff>
        </xdr:from>
        <xdr:to>
          <xdr:col>1</xdr:col>
          <xdr:colOff>4476750</xdr:colOff>
          <xdr:row>195</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C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195</xdr:row>
          <xdr:rowOff>9525</xdr:rowOff>
        </xdr:from>
        <xdr:to>
          <xdr:col>1</xdr:col>
          <xdr:colOff>4476750</xdr:colOff>
          <xdr:row>196</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C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196</xdr:row>
          <xdr:rowOff>9525</xdr:rowOff>
        </xdr:from>
        <xdr:to>
          <xdr:col>1</xdr:col>
          <xdr:colOff>4476750</xdr:colOff>
          <xdr:row>197</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C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33</xdr:row>
          <xdr:rowOff>9525</xdr:rowOff>
        </xdr:from>
        <xdr:to>
          <xdr:col>1</xdr:col>
          <xdr:colOff>4476750</xdr:colOff>
          <xdr:row>34</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C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35</xdr:row>
          <xdr:rowOff>9525</xdr:rowOff>
        </xdr:from>
        <xdr:to>
          <xdr:col>1</xdr:col>
          <xdr:colOff>4476750</xdr:colOff>
          <xdr:row>36</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C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37</xdr:row>
          <xdr:rowOff>9525</xdr:rowOff>
        </xdr:from>
        <xdr:to>
          <xdr:col>1</xdr:col>
          <xdr:colOff>4476750</xdr:colOff>
          <xdr:row>38</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C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39</xdr:row>
          <xdr:rowOff>9525</xdr:rowOff>
        </xdr:from>
        <xdr:to>
          <xdr:col>1</xdr:col>
          <xdr:colOff>4476750</xdr:colOff>
          <xdr:row>40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C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41</xdr:row>
          <xdr:rowOff>9525</xdr:rowOff>
        </xdr:from>
        <xdr:to>
          <xdr:col>1</xdr:col>
          <xdr:colOff>4476750</xdr:colOff>
          <xdr:row>42</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C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34</xdr:row>
          <xdr:rowOff>9525</xdr:rowOff>
        </xdr:from>
        <xdr:to>
          <xdr:col>1</xdr:col>
          <xdr:colOff>4476750</xdr:colOff>
          <xdr:row>35</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C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36</xdr:row>
          <xdr:rowOff>9525</xdr:rowOff>
        </xdr:from>
        <xdr:to>
          <xdr:col>1</xdr:col>
          <xdr:colOff>4476750</xdr:colOff>
          <xdr:row>37</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C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38</xdr:row>
          <xdr:rowOff>9525</xdr:rowOff>
        </xdr:from>
        <xdr:to>
          <xdr:col>1</xdr:col>
          <xdr:colOff>4476750</xdr:colOff>
          <xdr:row>39</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C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40</xdr:row>
          <xdr:rowOff>9525</xdr:rowOff>
        </xdr:from>
        <xdr:to>
          <xdr:col>1</xdr:col>
          <xdr:colOff>4476750</xdr:colOff>
          <xdr:row>41</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C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42</xdr:row>
          <xdr:rowOff>9525</xdr:rowOff>
        </xdr:from>
        <xdr:to>
          <xdr:col>1</xdr:col>
          <xdr:colOff>4476750</xdr:colOff>
          <xdr:row>43</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C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44</xdr:row>
          <xdr:rowOff>9525</xdr:rowOff>
        </xdr:from>
        <xdr:to>
          <xdr:col>1</xdr:col>
          <xdr:colOff>4476750</xdr:colOff>
          <xdr:row>45</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C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108</xdr:row>
          <xdr:rowOff>9525</xdr:rowOff>
        </xdr:from>
        <xdr:to>
          <xdr:col>1</xdr:col>
          <xdr:colOff>4476750</xdr:colOff>
          <xdr:row>109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C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110</xdr:row>
          <xdr:rowOff>9525</xdr:rowOff>
        </xdr:from>
        <xdr:to>
          <xdr:col>1</xdr:col>
          <xdr:colOff>4476750</xdr:colOff>
          <xdr:row>111</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C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112</xdr:row>
          <xdr:rowOff>9525</xdr:rowOff>
        </xdr:from>
        <xdr:to>
          <xdr:col>1</xdr:col>
          <xdr:colOff>4476750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C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114</xdr:row>
          <xdr:rowOff>9525</xdr:rowOff>
        </xdr:from>
        <xdr:to>
          <xdr:col>1</xdr:col>
          <xdr:colOff>4476750</xdr:colOff>
          <xdr:row>115</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C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116</xdr:row>
          <xdr:rowOff>9525</xdr:rowOff>
        </xdr:from>
        <xdr:to>
          <xdr:col>1</xdr:col>
          <xdr:colOff>4476750</xdr:colOff>
          <xdr:row>117</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C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118</xdr:row>
          <xdr:rowOff>9525</xdr:rowOff>
        </xdr:from>
        <xdr:to>
          <xdr:col>1</xdr:col>
          <xdr:colOff>4476750</xdr:colOff>
          <xdr:row>119</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C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182</xdr:row>
          <xdr:rowOff>9525</xdr:rowOff>
        </xdr:from>
        <xdr:to>
          <xdr:col>1</xdr:col>
          <xdr:colOff>4476750</xdr:colOff>
          <xdr:row>183</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C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184</xdr:row>
          <xdr:rowOff>9525</xdr:rowOff>
        </xdr:from>
        <xdr:to>
          <xdr:col>1</xdr:col>
          <xdr:colOff>4476750</xdr:colOff>
          <xdr:row>185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C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186</xdr:row>
          <xdr:rowOff>9525</xdr:rowOff>
        </xdr:from>
        <xdr:to>
          <xdr:col>1</xdr:col>
          <xdr:colOff>4476750</xdr:colOff>
          <xdr:row>187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C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188</xdr:row>
          <xdr:rowOff>9525</xdr:rowOff>
        </xdr:from>
        <xdr:to>
          <xdr:col>1</xdr:col>
          <xdr:colOff>4476750</xdr:colOff>
          <xdr:row>189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C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190</xdr:row>
          <xdr:rowOff>9525</xdr:rowOff>
        </xdr:from>
        <xdr:to>
          <xdr:col>1</xdr:col>
          <xdr:colOff>4476750</xdr:colOff>
          <xdr:row>191</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C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192</xdr:row>
          <xdr:rowOff>9525</xdr:rowOff>
        </xdr:from>
        <xdr:to>
          <xdr:col>1</xdr:col>
          <xdr:colOff>4476750</xdr:colOff>
          <xdr:row>193</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C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49</xdr:row>
          <xdr:rowOff>9525</xdr:rowOff>
        </xdr:from>
        <xdr:to>
          <xdr:col>1</xdr:col>
          <xdr:colOff>4476750</xdr:colOff>
          <xdr:row>50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C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50</xdr:row>
          <xdr:rowOff>9525</xdr:rowOff>
        </xdr:from>
        <xdr:to>
          <xdr:col>1</xdr:col>
          <xdr:colOff>4476750</xdr:colOff>
          <xdr:row>51</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C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51</xdr:row>
          <xdr:rowOff>9525</xdr:rowOff>
        </xdr:from>
        <xdr:to>
          <xdr:col>1</xdr:col>
          <xdr:colOff>4476750</xdr:colOff>
          <xdr:row>52</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C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52</xdr:row>
          <xdr:rowOff>9525</xdr:rowOff>
        </xdr:from>
        <xdr:to>
          <xdr:col>1</xdr:col>
          <xdr:colOff>4476750</xdr:colOff>
          <xdr:row>53</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C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53</xdr:row>
          <xdr:rowOff>9525</xdr:rowOff>
        </xdr:from>
        <xdr:to>
          <xdr:col>1</xdr:col>
          <xdr:colOff>4476750</xdr:colOff>
          <xdr:row>63</xdr:row>
          <xdr:rowOff>180975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C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54</xdr:row>
          <xdr:rowOff>9525</xdr:rowOff>
        </xdr:from>
        <xdr:to>
          <xdr:col>1</xdr:col>
          <xdr:colOff>4476750</xdr:colOff>
          <xdr:row>63</xdr:row>
          <xdr:rowOff>180975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C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55</xdr:row>
          <xdr:rowOff>9525</xdr:rowOff>
        </xdr:from>
        <xdr:to>
          <xdr:col>1</xdr:col>
          <xdr:colOff>4476750</xdr:colOff>
          <xdr:row>63</xdr:row>
          <xdr:rowOff>180975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C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56</xdr:row>
          <xdr:rowOff>9525</xdr:rowOff>
        </xdr:from>
        <xdr:to>
          <xdr:col>1</xdr:col>
          <xdr:colOff>4476750</xdr:colOff>
          <xdr:row>63</xdr:row>
          <xdr:rowOff>180975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C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57</xdr:row>
          <xdr:rowOff>9525</xdr:rowOff>
        </xdr:from>
        <xdr:to>
          <xdr:col>1</xdr:col>
          <xdr:colOff>4476750</xdr:colOff>
          <xdr:row>63</xdr:row>
          <xdr:rowOff>180975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C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58</xdr:row>
          <xdr:rowOff>9525</xdr:rowOff>
        </xdr:from>
        <xdr:to>
          <xdr:col>1</xdr:col>
          <xdr:colOff>4476750</xdr:colOff>
          <xdr:row>63</xdr:row>
          <xdr:rowOff>180975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C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59</xdr:row>
          <xdr:rowOff>9525</xdr:rowOff>
        </xdr:from>
        <xdr:to>
          <xdr:col>1</xdr:col>
          <xdr:colOff>4476750</xdr:colOff>
          <xdr:row>63</xdr:row>
          <xdr:rowOff>180975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C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60</xdr:row>
          <xdr:rowOff>9525</xdr:rowOff>
        </xdr:from>
        <xdr:to>
          <xdr:col>1</xdr:col>
          <xdr:colOff>4476750</xdr:colOff>
          <xdr:row>63</xdr:row>
          <xdr:rowOff>180975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C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61</xdr:row>
          <xdr:rowOff>9525</xdr:rowOff>
        </xdr:from>
        <xdr:to>
          <xdr:col>1</xdr:col>
          <xdr:colOff>4476750</xdr:colOff>
          <xdr:row>63</xdr:row>
          <xdr:rowOff>180975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C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62</xdr:row>
          <xdr:rowOff>9525</xdr:rowOff>
        </xdr:from>
        <xdr:to>
          <xdr:col>1</xdr:col>
          <xdr:colOff>4476750</xdr:colOff>
          <xdr:row>63</xdr:row>
          <xdr:rowOff>180975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C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123</xdr:row>
          <xdr:rowOff>9525</xdr:rowOff>
        </xdr:from>
        <xdr:to>
          <xdr:col>1</xdr:col>
          <xdr:colOff>4476750</xdr:colOff>
          <xdr:row>124</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C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124</xdr:row>
          <xdr:rowOff>9525</xdr:rowOff>
        </xdr:from>
        <xdr:to>
          <xdr:col>1</xdr:col>
          <xdr:colOff>4476750</xdr:colOff>
          <xdr:row>125</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C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125</xdr:row>
          <xdr:rowOff>9525</xdr:rowOff>
        </xdr:from>
        <xdr:to>
          <xdr:col>1</xdr:col>
          <xdr:colOff>4476750</xdr:colOff>
          <xdr:row>126</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C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126</xdr:row>
          <xdr:rowOff>9525</xdr:rowOff>
        </xdr:from>
        <xdr:to>
          <xdr:col>1</xdr:col>
          <xdr:colOff>4476750</xdr:colOff>
          <xdr:row>127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C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127</xdr:row>
          <xdr:rowOff>9525</xdr:rowOff>
        </xdr:from>
        <xdr:to>
          <xdr:col>1</xdr:col>
          <xdr:colOff>4476750</xdr:colOff>
          <xdr:row>137</xdr:row>
          <xdr:rowOff>180975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C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128</xdr:row>
          <xdr:rowOff>9525</xdr:rowOff>
        </xdr:from>
        <xdr:to>
          <xdr:col>1</xdr:col>
          <xdr:colOff>4476750</xdr:colOff>
          <xdr:row>137</xdr:row>
          <xdr:rowOff>180975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C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129</xdr:row>
          <xdr:rowOff>9525</xdr:rowOff>
        </xdr:from>
        <xdr:to>
          <xdr:col>1</xdr:col>
          <xdr:colOff>4476750</xdr:colOff>
          <xdr:row>137</xdr:row>
          <xdr:rowOff>180975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C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130</xdr:row>
          <xdr:rowOff>9525</xdr:rowOff>
        </xdr:from>
        <xdr:to>
          <xdr:col>1</xdr:col>
          <xdr:colOff>4476750</xdr:colOff>
          <xdr:row>137</xdr:row>
          <xdr:rowOff>180975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C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131</xdr:row>
          <xdr:rowOff>9525</xdr:rowOff>
        </xdr:from>
        <xdr:to>
          <xdr:col>1</xdr:col>
          <xdr:colOff>4476750</xdr:colOff>
          <xdr:row>137</xdr:row>
          <xdr:rowOff>180975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C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132</xdr:row>
          <xdr:rowOff>9525</xdr:rowOff>
        </xdr:from>
        <xdr:to>
          <xdr:col>1</xdr:col>
          <xdr:colOff>4476750</xdr:colOff>
          <xdr:row>137</xdr:row>
          <xdr:rowOff>180975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C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133</xdr:row>
          <xdr:rowOff>9525</xdr:rowOff>
        </xdr:from>
        <xdr:to>
          <xdr:col>1</xdr:col>
          <xdr:colOff>4476750</xdr:colOff>
          <xdr:row>137</xdr:row>
          <xdr:rowOff>180975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C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134</xdr:row>
          <xdr:rowOff>9525</xdr:rowOff>
        </xdr:from>
        <xdr:to>
          <xdr:col>1</xdr:col>
          <xdr:colOff>4476750</xdr:colOff>
          <xdr:row>137</xdr:row>
          <xdr:rowOff>180975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C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135</xdr:row>
          <xdr:rowOff>9525</xdr:rowOff>
        </xdr:from>
        <xdr:to>
          <xdr:col>1</xdr:col>
          <xdr:colOff>4476750</xdr:colOff>
          <xdr:row>137</xdr:row>
          <xdr:rowOff>180975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C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136</xdr:row>
          <xdr:rowOff>9525</xdr:rowOff>
        </xdr:from>
        <xdr:to>
          <xdr:col>1</xdr:col>
          <xdr:colOff>4476750</xdr:colOff>
          <xdr:row>137</xdr:row>
          <xdr:rowOff>180975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C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197</xdr:row>
          <xdr:rowOff>9525</xdr:rowOff>
        </xdr:from>
        <xdr:to>
          <xdr:col>1</xdr:col>
          <xdr:colOff>4476750</xdr:colOff>
          <xdr:row>198</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C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198</xdr:row>
          <xdr:rowOff>9525</xdr:rowOff>
        </xdr:from>
        <xdr:to>
          <xdr:col>1</xdr:col>
          <xdr:colOff>4476750</xdr:colOff>
          <xdr:row>199</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C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199</xdr:row>
          <xdr:rowOff>9525</xdr:rowOff>
        </xdr:from>
        <xdr:to>
          <xdr:col>1</xdr:col>
          <xdr:colOff>4476750</xdr:colOff>
          <xdr:row>200</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C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200</xdr:row>
          <xdr:rowOff>9525</xdr:rowOff>
        </xdr:from>
        <xdr:to>
          <xdr:col>1</xdr:col>
          <xdr:colOff>4476750</xdr:colOff>
          <xdr:row>201</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C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201</xdr:row>
          <xdr:rowOff>9525</xdr:rowOff>
        </xdr:from>
        <xdr:to>
          <xdr:col>1</xdr:col>
          <xdr:colOff>4476750</xdr:colOff>
          <xdr:row>211</xdr:row>
          <xdr:rowOff>180975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C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202</xdr:row>
          <xdr:rowOff>9525</xdr:rowOff>
        </xdr:from>
        <xdr:to>
          <xdr:col>1</xdr:col>
          <xdr:colOff>4476750</xdr:colOff>
          <xdr:row>211</xdr:row>
          <xdr:rowOff>180975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C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203</xdr:row>
          <xdr:rowOff>9525</xdr:rowOff>
        </xdr:from>
        <xdr:to>
          <xdr:col>1</xdr:col>
          <xdr:colOff>4476750</xdr:colOff>
          <xdr:row>211</xdr:row>
          <xdr:rowOff>180975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C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204</xdr:row>
          <xdr:rowOff>9525</xdr:rowOff>
        </xdr:from>
        <xdr:to>
          <xdr:col>1</xdr:col>
          <xdr:colOff>4476750</xdr:colOff>
          <xdr:row>211</xdr:row>
          <xdr:rowOff>180975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C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205</xdr:row>
          <xdr:rowOff>9525</xdr:rowOff>
        </xdr:from>
        <xdr:to>
          <xdr:col>1</xdr:col>
          <xdr:colOff>4476750</xdr:colOff>
          <xdr:row>211</xdr:row>
          <xdr:rowOff>180975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C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206</xdr:row>
          <xdr:rowOff>9525</xdr:rowOff>
        </xdr:from>
        <xdr:to>
          <xdr:col>1</xdr:col>
          <xdr:colOff>4476750</xdr:colOff>
          <xdr:row>211</xdr:row>
          <xdr:rowOff>180975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C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207</xdr:row>
          <xdr:rowOff>9525</xdr:rowOff>
        </xdr:from>
        <xdr:to>
          <xdr:col>1</xdr:col>
          <xdr:colOff>4476750</xdr:colOff>
          <xdr:row>211</xdr:row>
          <xdr:rowOff>180975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C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208</xdr:row>
          <xdr:rowOff>9525</xdr:rowOff>
        </xdr:from>
        <xdr:to>
          <xdr:col>1</xdr:col>
          <xdr:colOff>4476750</xdr:colOff>
          <xdr:row>211</xdr:row>
          <xdr:rowOff>180975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C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209</xdr:row>
          <xdr:rowOff>9525</xdr:rowOff>
        </xdr:from>
        <xdr:to>
          <xdr:col>1</xdr:col>
          <xdr:colOff>4476750</xdr:colOff>
          <xdr:row>211</xdr:row>
          <xdr:rowOff>180975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C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210</xdr:row>
          <xdr:rowOff>9525</xdr:rowOff>
        </xdr:from>
        <xdr:to>
          <xdr:col>1</xdr:col>
          <xdr:colOff>4476750</xdr:colOff>
          <xdr:row>211</xdr:row>
          <xdr:rowOff>180975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C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258000</xdr:colOff>
      <xdr:row>39</xdr:row>
      <xdr:rowOff>83609</xdr:rowOff>
    </xdr:to>
    <xdr:sp macro="" textlink="">
      <xdr:nvSpPr>
        <xdr:cNvPr id="2" name="TextovéPole 1">
          <a:extLst>
            <a:ext uri="{FF2B5EF4-FFF2-40B4-BE49-F238E27FC236}">
              <a16:creationId xmlns:a16="http://schemas.microsoft.com/office/drawing/2014/main" id="{7F51EF51-2621-9F44-8A96-13BAB71D56B8}"/>
            </a:ext>
          </a:extLst>
        </xdr:cNvPr>
        <xdr:cNvSpPr txBox="1"/>
      </xdr:nvSpPr>
      <xdr:spPr>
        <a:xfrm>
          <a:off x="0" y="0"/>
          <a:ext cx="8640000" cy="801793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400" b="1"/>
            <a:t>Test podniku v obtížích</a:t>
          </a:r>
        </a:p>
        <a:p>
          <a:endParaRPr lang="cs-CZ" sz="1100"/>
        </a:p>
        <a:p>
          <a:r>
            <a:rPr lang="cs-CZ" sz="1100"/>
            <a:t>Tento dokument slouží k </a:t>
          </a:r>
          <a:r>
            <a:rPr lang="cs-CZ" sz="1100" b="1"/>
            <a:t>ověření naplnění definice podniku v obtížích</a:t>
          </a:r>
          <a:r>
            <a:rPr lang="cs-CZ" sz="1100"/>
            <a:t>,</a:t>
          </a:r>
          <a:r>
            <a:rPr lang="cs-CZ" sz="1100" baseline="0"/>
            <a:t> a to podle: </a:t>
          </a:r>
        </a:p>
        <a:p>
          <a:r>
            <a:rPr lang="cs-CZ" sz="1100" baseline="0"/>
            <a:t>1) </a:t>
          </a:r>
          <a:r>
            <a:rPr lang="cs-CZ" sz="1100" b="1" baseline="0"/>
            <a:t>Nařízení Komise (EU) č. 651/2014 </a:t>
          </a:r>
          <a:r>
            <a:rPr lang="cs-CZ" sz="1100" baseline="0"/>
            <a:t>ze dne 17. června 2014, kterým se v souladu s články 107 a 108 Smlouvy prohlašují určité kategorie podpory za slučitelné s vnitřním trhem, ve znění nařízení Komise (EU) č. 2017/1084 ze dne 14. června 2017 (dále jen "GBER"),</a:t>
          </a:r>
        </a:p>
        <a:p>
          <a:r>
            <a:rPr lang="cs-CZ" sz="1100" baseline="0"/>
            <a:t>2) </a:t>
          </a:r>
          <a:r>
            <a:rPr lang="cs-CZ" sz="1100" b="1" baseline="0"/>
            <a:t>Pokynů pro státní podporu na záchranu a restrukturalizaci nefinančních podniků v obtížích </a:t>
          </a:r>
          <a:r>
            <a:rPr lang="cs-CZ" sz="1100" baseline="0"/>
            <a:t>(2014/C 249/01) - pro </a:t>
          </a:r>
          <a:r>
            <a:rPr lang="cs-CZ" sz="1100" baseline="0">
              <a:solidFill>
                <a:sysClr val="windowText" lastClr="000000"/>
              </a:solidFill>
            </a:rPr>
            <a:t>podpory, které nejsou poskytovány podle GBER (včetně podpor z ERDF, které jsou poskytovány mimo režim veřejné podpory).</a:t>
          </a:r>
        </a:p>
        <a:p>
          <a:endParaRPr lang="cs-CZ" sz="1100"/>
        </a:p>
        <a:p>
          <a:r>
            <a:rPr lang="cs-CZ" sz="1100"/>
            <a:t>Ověření podniku v obtížích </a:t>
          </a:r>
          <a:r>
            <a:rPr lang="cs-CZ" sz="1100" b="1"/>
            <a:t>je odlišné pro jednotlivé typy žadatelů</a:t>
          </a:r>
          <a:r>
            <a:rPr lang="cs-CZ" sz="1100"/>
            <a:t>, a je v souladu s předpisy o účetnictví rozděleno do následujících skupin:</a:t>
          </a:r>
        </a:p>
        <a:p>
          <a:r>
            <a:rPr lang="cs-CZ" sz="1100"/>
            <a:t>a) příjemci účtující dle vyhlášky č. 500/2002 Sb., tj. podnikatelské subjekty</a:t>
          </a:r>
        </a:p>
        <a:p>
          <a:r>
            <a:rPr lang="cs-CZ" sz="1100"/>
            <a:t>b) příjemci</a:t>
          </a:r>
          <a:r>
            <a:rPr lang="cs-CZ" sz="1100" baseline="0"/>
            <a:t> účtující dle vyhlášky č. 501/2002 Sb-. tj. např. banky a finanční instituce</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c)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502/2002 Sb-. tj. pojišťovny</a:t>
          </a:r>
          <a:endParaRPr lang="cs-CZ">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d)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503/2002 Sb-. tj. zdravotní pojišťovny</a:t>
          </a:r>
          <a:endParaRPr lang="cs-CZ">
            <a:solidFill>
              <a:sysClr val="windowText" lastClr="000000"/>
            </a:solidFill>
            <a:effectLst/>
          </a:endParaRPr>
        </a:p>
        <a:p>
          <a:r>
            <a:rPr lang="cs-CZ" sz="1100">
              <a:solidFill>
                <a:sysClr val="windowText" lastClr="000000"/>
              </a:solidFill>
            </a:rPr>
            <a:t>e) příjemci účtující dle vyhlášky č. 504/2002 Sb., tj. nepodnikatelské subjekty</a:t>
          </a:r>
        </a:p>
        <a:p>
          <a:r>
            <a:rPr lang="cs-CZ" sz="1100"/>
            <a:t>f) příjemci účtující dle vyhlášky č. 410/2009 Sb., tj. nepodnikatelské subjekty (zahrnující OSS, ÚSC, PO, státní fondy)</a:t>
          </a:r>
        </a:p>
        <a:p>
          <a:r>
            <a:rPr lang="cs-CZ" sz="1100">
              <a:solidFill>
                <a:sysClr val="windowText" lastClr="000000"/>
              </a:solidFill>
            </a:rPr>
            <a:t>g)příjemci</a:t>
          </a:r>
          <a:r>
            <a:rPr lang="cs-CZ" sz="1100" baseline="0">
              <a:solidFill>
                <a:sysClr val="windowText" lastClr="000000"/>
              </a:solidFill>
            </a:rPr>
            <a:t> účtující dle vyhlášky č. 325/2015 Sb., tj. subjekty, které vedou jednoduché účetnictví </a:t>
          </a:r>
        </a:p>
        <a:p>
          <a:endParaRPr lang="cs-CZ" sz="1100">
            <a:solidFill>
              <a:sysClr val="windowText" lastClr="000000"/>
            </a:solidFill>
          </a:endParaRPr>
        </a:p>
        <a:p>
          <a:r>
            <a:rPr lang="cs-CZ" sz="1100">
              <a:solidFill>
                <a:sysClr val="windowText" lastClr="000000"/>
              </a:solidFill>
            </a:rPr>
            <a:t>Informace o příslušné</a:t>
          </a:r>
          <a:r>
            <a:rPr lang="cs-CZ" sz="1100" baseline="0">
              <a:solidFill>
                <a:sysClr val="windowText" lastClr="000000"/>
              </a:solidFill>
            </a:rPr>
            <a:t> vyhlášce </a:t>
          </a:r>
          <a:r>
            <a:rPr lang="cs-CZ" sz="1100">
              <a:solidFill>
                <a:sysClr val="windowText" lastClr="000000"/>
              </a:solidFill>
            </a:rPr>
            <a:t>bývá zpravidla uvedena přímo v nadpisu výkazu (Rozvahy/Výkazu zisku a ztráty nebo Přehled o majetku a závazcích/Přehled</a:t>
          </a:r>
          <a:r>
            <a:rPr lang="cs-CZ" sz="1100" baseline="0">
              <a:solidFill>
                <a:sysClr val="windowText" lastClr="000000"/>
              </a:solidFill>
            </a:rPr>
            <a:t> o příjmech a výdajích)</a:t>
          </a:r>
          <a:r>
            <a:rPr lang="cs-CZ" sz="1100">
              <a:solidFill>
                <a:sysClr val="windowText" lastClr="000000"/>
              </a:solidFill>
            </a:rPr>
            <a:t>.</a:t>
          </a:r>
        </a:p>
        <a:p>
          <a:endParaRPr lang="cs-CZ" sz="1100">
            <a:solidFill>
              <a:sysClr val="windowText" lastClr="000000"/>
            </a:solidFill>
          </a:endParaRPr>
        </a:p>
        <a:p>
          <a:r>
            <a:rPr lang="cs-CZ" sz="1100" b="1">
              <a:solidFill>
                <a:sysClr val="windowText" lastClr="000000"/>
              </a:solidFill>
            </a:rPr>
            <a:t>Žadatelé postupují při vyplňování testu následujícím způsobem</a:t>
          </a:r>
        </a:p>
        <a:p>
          <a:endParaRPr lang="cs-CZ"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1. Žadatel </a:t>
          </a:r>
          <a:r>
            <a:rPr lang="cs-CZ" sz="1100" b="1">
              <a:solidFill>
                <a:sysClr val="windowText" lastClr="000000"/>
              </a:solidFill>
            </a:rPr>
            <a:t>zvolí příslušný formulář </a:t>
          </a:r>
          <a:r>
            <a:rPr lang="cs-CZ" sz="1100" b="0">
              <a:solidFill>
                <a:sysClr val="windowText" lastClr="000000"/>
              </a:solidFill>
            </a:rPr>
            <a:t>na příslušném list tohoto souboru </a:t>
          </a:r>
          <a:r>
            <a:rPr lang="cs-CZ" sz="1100">
              <a:solidFill>
                <a:sysClr val="windowText" lastClr="000000"/>
              </a:solidFill>
            </a:rPr>
            <a:t>podle právního předpisu,</a:t>
          </a:r>
          <a:r>
            <a:rPr lang="cs-CZ" sz="1100" baseline="0">
              <a:solidFill>
                <a:sysClr val="windowText" lastClr="000000"/>
              </a:solidFill>
            </a:rPr>
            <a:t> resp. příslušné </a:t>
          </a:r>
          <a:r>
            <a:rPr lang="cs-CZ" sz="1100">
              <a:solidFill>
                <a:sysClr val="windowText" lastClr="000000"/>
              </a:solidFill>
            </a:rPr>
            <a:t>vyhlášky,</a:t>
          </a:r>
          <a:r>
            <a:rPr lang="cs-CZ" sz="1100" baseline="0">
              <a:solidFill>
                <a:sysClr val="windowText" lastClr="000000"/>
              </a:solidFill>
            </a:rPr>
            <a:t> dle níž je sestavena Rozvaha a Výkaz zisku a ztráty, resp.  </a:t>
          </a:r>
          <a:r>
            <a:rPr lang="cs-CZ" sz="1100">
              <a:solidFill>
                <a:sysClr val="windowText" lastClr="000000"/>
              </a:solidFill>
              <a:effectLst/>
              <a:latin typeface="+mn-lt"/>
              <a:ea typeface="+mn-ea"/>
              <a:cs typeface="+mn-cs"/>
            </a:rPr>
            <a:t>Přehled o majetku a závazcích a Přehled</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a:t>
          </a:r>
          <a:endParaRPr lang="cs-CZ">
            <a:solidFill>
              <a:sysClr val="windowText" lastClr="000000"/>
            </a:solidFill>
            <a:effectLst/>
          </a:endParaRPr>
        </a:p>
        <a:p>
          <a:r>
            <a:rPr lang="cs-CZ" sz="1100">
              <a:solidFill>
                <a:sysClr val="windowText" lastClr="000000"/>
              </a:solidFill>
            </a:rPr>
            <a:t>2.</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 I.</a:t>
          </a:r>
          <a:r>
            <a:rPr lang="cs-CZ" sz="1100">
              <a:solidFill>
                <a:sysClr val="windowText" lastClr="000000"/>
              </a:solidFill>
            </a:rPr>
            <a:t> s kontaktními údaji a zvolí informace o délce existence podniku a velikosti podniku (malý</a:t>
          </a:r>
          <a:r>
            <a:rPr lang="cs-CZ" sz="1100" baseline="0">
              <a:solidFill>
                <a:sysClr val="windowText" lastClr="000000"/>
              </a:solidFill>
            </a:rPr>
            <a:t> a střední podnik</a:t>
          </a:r>
          <a:r>
            <a:rPr lang="cs-CZ" sz="1100">
              <a:solidFill>
                <a:sysClr val="windowText" lastClr="000000"/>
              </a:solidFill>
            </a:rPr>
            <a:t>/velký podnik - malý a střední podnik (MSP) je podnik splňující definici stanovenou v Příloze č. I GBER, resp. Doporučení 2003/361/ES ze dne 6. května 2003) a dále zvolí, zda společníci ručí za závazky podniku, zvolí, zda má žadatel základní kapitál nebo minimální kapitálový požadavek dle příslušných vnitrostátních právních přepisů. </a:t>
          </a:r>
        </a:p>
        <a:p>
          <a:r>
            <a:rPr lang="cs-CZ" sz="1100">
              <a:solidFill>
                <a:sysClr val="windowText" lastClr="000000"/>
              </a:solidFill>
            </a:rPr>
            <a:t>3.</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a:t>
          </a:r>
          <a:r>
            <a:rPr lang="cs-CZ" sz="1100" b="1" baseline="0">
              <a:solidFill>
                <a:sysClr val="windowText" lastClr="000000"/>
              </a:solidFill>
            </a:rPr>
            <a:t> II.</a:t>
          </a:r>
          <a:r>
            <a:rPr lang="cs-CZ" sz="1100" baseline="0">
              <a:solidFill>
                <a:sysClr val="windowText" lastClr="000000"/>
              </a:solidFill>
            </a:rPr>
            <a:t> s </a:t>
          </a:r>
          <a:r>
            <a:rPr lang="cs-CZ" sz="1100">
              <a:solidFill>
                <a:sysClr val="windowText" lastClr="000000"/>
              </a:solidFill>
            </a:rPr>
            <a:t>údaji u kritérií, která jsou označená jako relevantní a vyplní požadované údaje z Výkazu zisku a ztráty a Rozvahy, resp. </a:t>
          </a:r>
          <a:r>
            <a:rPr lang="cs-CZ" sz="1100">
              <a:solidFill>
                <a:sysClr val="windowText" lastClr="000000"/>
              </a:solidFill>
              <a:effectLst/>
              <a:latin typeface="+mn-lt"/>
              <a:ea typeface="+mn-ea"/>
              <a:cs typeface="+mn-cs"/>
            </a:rPr>
            <a:t>Přehledu o majetku a závazcích/Přehledu</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 U kritérií, kde je uvedeno, že nejsou relevantní, nevyplňuje žádné hodnoty do buněk označených šedým stínováním.</a:t>
          </a:r>
          <a:endParaRPr lang="cs-CZ">
            <a:solidFill>
              <a:sysClr val="windowText" lastClr="000000"/>
            </a:solidFill>
            <a:effectLst/>
          </a:endParaRPr>
        </a:p>
        <a:p>
          <a:r>
            <a:rPr lang="cs-CZ" sz="1100">
              <a:solidFill>
                <a:sysClr val="windowText" lastClr="000000"/>
              </a:solidFill>
            </a:rPr>
            <a:t>4. V případě žadatelů, kteří jsou</a:t>
          </a:r>
          <a:r>
            <a:rPr lang="cs-CZ" sz="1100" baseline="0">
              <a:solidFill>
                <a:sysClr val="windowText" lastClr="000000"/>
              </a:solidFill>
            </a:rPr>
            <a:t> </a:t>
          </a:r>
          <a:r>
            <a:rPr lang="cs-CZ" sz="1100" b="1" baseline="0">
              <a:solidFill>
                <a:sysClr val="windowText" lastClr="000000"/>
              </a:solidFill>
            </a:rPr>
            <a:t>součástí skupiny podniků</a:t>
          </a:r>
          <a:r>
            <a:rPr lang="cs-CZ" sz="1100" baseline="0">
              <a:solidFill>
                <a:sysClr val="windowText" lastClr="000000"/>
              </a:solidFill>
            </a:rPr>
            <a:t>, žadatel</a:t>
          </a:r>
          <a:r>
            <a:rPr lang="cs-CZ" sz="1100">
              <a:solidFill>
                <a:sysClr val="windowText" lastClr="000000"/>
              </a:solidFill>
            </a:rPr>
            <a:t> vyplní rovněž list "</a:t>
          </a:r>
          <a:r>
            <a:rPr lang="cs-CZ" sz="1100" baseline="0">
              <a:solidFill>
                <a:sysClr val="windowText" lastClr="000000"/>
              </a:solidFill>
            </a:rPr>
            <a:t>skupina podniků", a to části I. až III. (pozn. i</a:t>
          </a:r>
          <a:r>
            <a:rPr lang="cs-CZ" sz="1100">
              <a:solidFill>
                <a:sysClr val="windowText" lastClr="000000"/>
              </a:solidFill>
            </a:rPr>
            <a:t>nformace za skupinu podniků se nevyplňují v případě žadatelů účtujících dle vyhlášky č. 410/2009 Sb.)</a:t>
          </a:r>
        </a:p>
        <a:p>
          <a:r>
            <a:rPr lang="cs-CZ" sz="1100">
              <a:solidFill>
                <a:sysClr val="windowText" lastClr="000000"/>
              </a:solidFill>
            </a:rPr>
            <a:t>5.</a:t>
          </a:r>
          <a:r>
            <a:rPr lang="cs-CZ" sz="1100" baseline="0">
              <a:solidFill>
                <a:sysClr val="windowText" lastClr="000000"/>
              </a:solidFill>
            </a:rPr>
            <a:t> </a:t>
          </a:r>
          <a:r>
            <a:rPr lang="cs-CZ" sz="1100">
              <a:solidFill>
                <a:sysClr val="windowText" lastClr="000000"/>
              </a:solidFill>
            </a:rPr>
            <a:t>Formulář na základě vložených údajů vyhodnotí, zda žadatel představuje či nepředstavuje podnik v obtížích.</a:t>
          </a:r>
        </a:p>
        <a:p>
          <a:r>
            <a:rPr lang="cs-CZ" sz="1100" baseline="0">
              <a:solidFill>
                <a:sysClr val="windowText" lastClr="000000"/>
              </a:solidFill>
            </a:rPr>
            <a:t>Pro naplnění definice podniku v obtížích po</a:t>
          </a:r>
          <a:r>
            <a:rPr lang="cs-CZ" sz="1100">
              <a:solidFill>
                <a:sysClr val="windowText" lastClr="000000"/>
              </a:solidFill>
            </a:rPr>
            <a:t>stačuje naplnění kteréhokoliv z relevantních</a:t>
          </a:r>
          <a:r>
            <a:rPr lang="cs-CZ" sz="1100" baseline="0">
              <a:solidFill>
                <a:sysClr val="windowText" lastClr="000000"/>
              </a:solidFill>
            </a:rPr>
            <a:t> </a:t>
          </a:r>
          <a:r>
            <a:rPr lang="cs-CZ" sz="1100">
              <a:solidFill>
                <a:sysClr val="windowText" lastClr="000000"/>
              </a:solidFill>
            </a:rPr>
            <a:t>kritérií A,B,C,D,E.</a:t>
          </a:r>
          <a:r>
            <a:rPr lang="cs-CZ" sz="1100" baseline="0">
              <a:solidFill>
                <a:sysClr val="windowText" lastClr="000000"/>
              </a:solidFill>
            </a:rPr>
            <a:t> </a:t>
          </a:r>
        </a:p>
        <a:p>
          <a:endParaRPr lang="cs-CZ" sz="1100" baseline="0">
            <a:solidFill>
              <a:sysClr val="windowText" lastClr="000000"/>
            </a:solidFill>
          </a:endParaRPr>
        </a:p>
        <a:p>
          <a:endParaRPr lang="cs-CZ" sz="1100" baseline="0">
            <a:solidFill>
              <a:sysClr val="windowText" lastClr="000000"/>
            </a:solidFill>
          </a:endParaRPr>
        </a:p>
        <a:p>
          <a:r>
            <a:rPr lang="cs-CZ" sz="1100" baseline="0">
              <a:solidFill>
                <a:sysClr val="windowText" lastClr="000000"/>
              </a:solidFill>
            </a:rPr>
            <a:t>Žadatel, který spadá do </a:t>
          </a:r>
          <a:r>
            <a:rPr lang="cs-CZ" sz="1100" b="1" baseline="0">
              <a:solidFill>
                <a:sysClr val="windowText" lastClr="000000"/>
              </a:solidFill>
            </a:rPr>
            <a:t>skupiny podniků</a:t>
          </a:r>
          <a:r>
            <a:rPr lang="cs-CZ" sz="1100" b="0" baseline="0">
              <a:solidFill>
                <a:sysClr val="windowText" lastClr="000000"/>
              </a:solidFill>
            </a:rPr>
            <a:t>,</a:t>
          </a:r>
          <a:r>
            <a:rPr lang="cs-CZ" sz="1100" b="1" baseline="0">
              <a:solidFill>
                <a:sysClr val="windowText" lastClr="000000"/>
              </a:solidFill>
            </a:rPr>
            <a:t> </a:t>
          </a:r>
          <a:r>
            <a:rPr lang="cs-CZ" sz="1100" baseline="0">
              <a:solidFill>
                <a:sysClr val="windowText" lastClr="000000"/>
              </a:solidFill>
            </a:rPr>
            <a:t>musí prokázat, že žadatel (zvlášť) ani skupina podniků (včetně žadatele) nejsou podnikem v obtížích.</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Pokud je žadatel součástí skupiny a je sám hodnocen jako podnik v obtížích, avšak při vyhodnocení konsolidovaných finančních výkazů poskytovatel ověří, že skupina v obtížích není, nebude žadatel považován za podnik v obtížích za předpokladu, že </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 skupina podniků není podnikem v obtížích a zároveň</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(ii) ostatní subjekty ve skupině před poskytnutím podpory poskytnou žadateli nezbytné prostředky, aby žadatel kritéria podniku v obtížích nenaplňoval. </a:t>
          </a:r>
        </a:p>
        <a:p>
          <a:pPr marL="0" marR="0" indent="0" defTabSz="914400" eaLnBrk="1" fontAlgn="auto" latinLnBrk="0" hangingPunct="1">
            <a:lnSpc>
              <a:spcPct val="100000"/>
            </a:lnSpc>
            <a:spcBef>
              <a:spcPts val="0"/>
            </a:spcBef>
            <a:spcAft>
              <a:spcPts val="0"/>
            </a:spcAft>
            <a:buClrTx/>
            <a:buSzTx/>
            <a:buFontTx/>
            <a:buNone/>
            <a:tabLst/>
            <a:defRPr/>
          </a:pPr>
          <a:endParaRPr lang="cs-CZ" sz="1100">
            <a:solidFill>
              <a:sysClr val="windowText" lastClr="000000"/>
            </a:solidFill>
          </a:endParaRPr>
        </a:p>
        <a:p>
          <a:r>
            <a:rPr lang="cs-CZ" sz="1100" b="1">
              <a:solidFill>
                <a:sysClr val="windowText" lastClr="000000"/>
              </a:solidFill>
            </a:rPr>
            <a:t>Žadatel</a:t>
          </a:r>
          <a:r>
            <a:rPr lang="cs-CZ" sz="1100" b="1" baseline="0">
              <a:solidFill>
                <a:sysClr val="windowText" lastClr="000000"/>
              </a:solidFill>
            </a:rPr>
            <a:t> je povinen předložit relevantní údaje</a:t>
          </a:r>
          <a:r>
            <a:rPr lang="cs-CZ" sz="1100" baseline="0">
              <a:solidFill>
                <a:sysClr val="windowText" lastClr="000000"/>
              </a:solidFill>
            </a:rPr>
            <a:t>, které potvrzují údaje uvedené ve formuláři, tj. účetní závěrky, zejména Rozvahu a Výkaz zisku a ztráty, Přehled o majetku a závazcích/Přehled o příjmech a výdajích, příp. jejich ekvivalenty v případě subjektů z jiných států než je ČR. </a:t>
          </a:r>
        </a:p>
        <a:p>
          <a:r>
            <a:rPr lang="cs-CZ" sz="1100" baseline="0">
              <a:solidFill>
                <a:sysClr val="windowText" lastClr="000000"/>
              </a:solidFill>
            </a:rPr>
            <a:t>V případě skupiny podniků je nezbytné předložit údaje o všech členech skupiny, u nichž existují vztahy propojenosti.</a:t>
          </a:r>
        </a:p>
        <a:p>
          <a:endParaRPr lang="cs-CZ" sz="1100" baseline="0">
            <a:solidFill>
              <a:sysClr val="windowText" lastClr="000000"/>
            </a:solidFill>
          </a:endParaRPr>
        </a:p>
      </xdr:txBody>
    </xdr:sp>
    <xdr:clientData/>
  </xdr:twoCellAnchor>
  <xdr:twoCellAnchor>
    <xdr:from>
      <xdr:col>0</xdr:col>
      <xdr:colOff>0</xdr:colOff>
      <xdr:row>39</xdr:row>
      <xdr:rowOff>104342</xdr:rowOff>
    </xdr:from>
    <xdr:to>
      <xdr:col>10</xdr:col>
      <xdr:colOff>258000</xdr:colOff>
      <xdr:row>62</xdr:row>
      <xdr:rowOff>171450</xdr:rowOff>
    </xdr:to>
    <xdr:sp macro="" textlink="">
      <xdr:nvSpPr>
        <xdr:cNvPr id="3" name="TextovéPole 2">
          <a:extLst>
            <a:ext uri="{FF2B5EF4-FFF2-40B4-BE49-F238E27FC236}">
              <a16:creationId xmlns:a16="http://schemas.microsoft.com/office/drawing/2014/main" id="{248F09EF-1D8D-EA4B-A155-2105E2E93702}"/>
            </a:ext>
          </a:extLst>
        </xdr:cNvPr>
        <xdr:cNvSpPr txBox="1"/>
      </xdr:nvSpPr>
      <xdr:spPr>
        <a:xfrm>
          <a:off x="0" y="8038667"/>
          <a:ext cx="8640000" cy="46676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Pokyny pro státní podporu na záchranu a restrukturalizaci nefinančních podniků v obtížích</a:t>
          </a:r>
        </a:p>
        <a:p>
          <a:pPr>
            <a:spcBef>
              <a:spcPts val="600"/>
            </a:spcBef>
          </a:pPr>
          <a:r>
            <a:rPr lang="cs-CZ" sz="1100" b="1"/>
            <a:t>(2014/C 249/01) - bod 20 ve spojení s bodem 24</a:t>
          </a:r>
        </a:p>
        <a:p>
          <a:pPr>
            <a:spcBef>
              <a:spcPts val="600"/>
            </a:spcBef>
          </a:pPr>
          <a:r>
            <a:rPr lang="cs-CZ" sz="1100"/>
            <a:t>20.</a:t>
          </a:r>
          <a:r>
            <a:rPr lang="cs-CZ" sz="1100" baseline="0"/>
            <a:t> </a:t>
          </a:r>
          <a:r>
            <a:rPr lang="cs-CZ" sz="1100"/>
            <a:t>Pro účely těchto pokynů je podnik považován za podnik v obtížích, pokud bude v krátkodobém či střednědobém výhledu bez zásahu státu téměř s jistotou odsouzen k ukončení činnosti. Podnik je proto považován za podnik v obtížích, pokud nastane alespoň jedna z následujících okolností:</a:t>
          </a:r>
        </a:p>
        <a:p>
          <a:pPr>
            <a:spcBef>
              <a:spcPts val="600"/>
            </a:spcBef>
          </a:pPr>
          <a:r>
            <a:rPr lang="cs-CZ" sz="1100"/>
            <a:t>a) v případě společnosti s ručením omezeným (25), kde v důsledku kumulace ztrát došlo ke ztrátě více než poloviny upsaného základního kapitálu (26). Tento případ nastává, když odečtení kumulovaných ztrát od rezerv (a jiných prvků, jež se obecně považují za regulatorní kapitál společnosti) vede k negativní kumulativní částce, která překračuje polovinu upsaného základního kapitálu;</a:t>
          </a:r>
        </a:p>
        <a:p>
          <a:pPr>
            <a:spcBef>
              <a:spcPts val="600"/>
            </a:spcBef>
          </a:pPr>
          <a:r>
            <a:rPr lang="cs-CZ" sz="1100"/>
            <a:t>b) v případě společnosti, v níž alespoň někteří společníci plně ručí za závazky společnosti (27), kde v důsledku kumulovaných ztrát došlo ke ztrátě více než poloviny jejího kapitálu zaznamenaného v účetnictví této společnosti;</a:t>
          </a:r>
        </a:p>
        <a:p>
          <a:pPr>
            <a:spcBef>
              <a:spcPts val="600"/>
            </a:spcBef>
          </a:pPr>
          <a:r>
            <a:rPr lang="cs-CZ" sz="1100"/>
            <a:t>c) je-li podnik předmětem kolektivního úpadkového řízení nebo splňuje kritéria stanovená ve vnitrostátních právních předpisech pro to, aby vůči němu bylo na žádost jeho věřitelů zahájeno kolektivní úpadkové řízení;</a:t>
          </a:r>
        </a:p>
        <a:p>
          <a:pPr>
            <a:spcBef>
              <a:spcPts val="600"/>
            </a:spcBef>
          </a:pPr>
          <a:r>
            <a:rPr lang="cs-CZ" sz="1100"/>
            <a:t>d) v případě podniku, který není malým nebo středním podnikem, kde v uplynulých dvou letech:</a:t>
          </a:r>
        </a:p>
        <a:p>
          <a:pPr>
            <a:spcBef>
              <a:spcPts val="600"/>
            </a:spcBef>
          </a:pPr>
          <a:r>
            <a:rPr lang="cs-CZ" sz="1100"/>
            <a:t>i) účetní poměr dluhu společnosti k vlastnímu kapitálu je vyšší než 7,5 a</a:t>
          </a:r>
        </a:p>
        <a:p>
          <a:pPr>
            <a:spcBef>
              <a:spcPts val="600"/>
            </a:spcBef>
          </a:pPr>
          <a:r>
            <a:rPr lang="cs-CZ" sz="1100"/>
            <a:t>ii) poměr úrokového krytí hospodářského výsledku společnosti před úroky, zdaněním a odpisy (EBITDA) je nižší než 1,0.</a:t>
          </a:r>
        </a:p>
        <a:p>
          <a:pPr>
            <a:spcBef>
              <a:spcPts val="600"/>
            </a:spcBef>
          </a:pPr>
          <a:r>
            <a:rPr lang="cs-CZ" sz="1100"/>
            <a:t>24. b) malý či střední podnik, který existuje po dobu kratší než tři roky, se nepovažuje za podnik v obtížích, pokud nesplňuje podmínku stanovenou v bodě 20 písm. c).</a:t>
          </a:r>
        </a:p>
        <a:p>
          <a:pPr>
            <a:spcBef>
              <a:spcPts val="600"/>
            </a:spcBef>
          </a:pPr>
          <a:r>
            <a:rPr lang="cs-CZ" sz="1100"/>
            <a:t>----------------------------------------------------------	</a:t>
          </a:r>
        </a:p>
        <a:p>
          <a:pPr>
            <a:spcBef>
              <a:spcPts val="300"/>
            </a:spcBef>
          </a:pPr>
          <a:r>
            <a:rPr lang="cs-CZ" sz="1000" i="1"/>
            <a:t>(25)  To se týká zejména typů společností uvedených v příloze I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 (Úř. věst. L 182, 29.6.2013, s. 19).</a:t>
          </a:r>
        </a:p>
        <a:p>
          <a:pPr>
            <a:spcBef>
              <a:spcPts val="300"/>
            </a:spcBef>
          </a:pPr>
          <a:r>
            <a:rPr lang="cs-CZ" sz="1000" i="1"/>
            <a:t>(26)  Je-li to vhodné, zahrnuje „základní kapitál“ emisní ážio.</a:t>
          </a:r>
        </a:p>
        <a:p>
          <a:pPr>
            <a:spcBef>
              <a:spcPts val="300"/>
            </a:spcBef>
          </a:pPr>
          <a:r>
            <a:rPr lang="cs-CZ" sz="1000" i="1"/>
            <a:t>(27)  To se týká zejména forem společností uvedených v příloze II směrnice 2013/34/EU.</a:t>
          </a:r>
        </a:p>
      </xdr:txBody>
    </xdr:sp>
    <xdr:clientData/>
  </xdr:twoCellAnchor>
  <xdr:twoCellAnchor>
    <xdr:from>
      <xdr:col>0</xdr:col>
      <xdr:colOff>0</xdr:colOff>
      <xdr:row>63</xdr:row>
      <xdr:rowOff>33063</xdr:rowOff>
    </xdr:from>
    <xdr:to>
      <xdr:col>10</xdr:col>
      <xdr:colOff>258000</xdr:colOff>
      <xdr:row>90</xdr:row>
      <xdr:rowOff>9525</xdr:rowOff>
    </xdr:to>
    <xdr:sp macro="" textlink="">
      <xdr:nvSpPr>
        <xdr:cNvPr id="4" name="TextovéPole 3">
          <a:extLst>
            <a:ext uri="{FF2B5EF4-FFF2-40B4-BE49-F238E27FC236}">
              <a16:creationId xmlns:a16="http://schemas.microsoft.com/office/drawing/2014/main" id="{85DA42C3-3E2A-BB4F-AA10-7446CB42CF4B}"/>
            </a:ext>
          </a:extLst>
        </xdr:cNvPr>
        <xdr:cNvSpPr txBox="1"/>
      </xdr:nvSpPr>
      <xdr:spPr>
        <a:xfrm>
          <a:off x="0" y="12767988"/>
          <a:ext cx="8640000" cy="5377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NAŘÍZENÍ KOMISE (EU) č. 651/2014</a:t>
          </a:r>
          <a:r>
            <a:rPr lang="cs-CZ" sz="1100" b="1" baseline="0">
              <a:solidFill>
                <a:sysClr val="windowText" lastClr="000000"/>
              </a:solidFill>
            </a:rPr>
            <a:t> </a:t>
          </a:r>
          <a:r>
            <a:rPr lang="cs-CZ" sz="1100" b="1">
              <a:solidFill>
                <a:sysClr val="windowText" lastClr="000000"/>
              </a:solidFill>
            </a:rPr>
            <a:t>ze dne 17. června 2014 (konsolidované</a:t>
          </a:r>
          <a:r>
            <a:rPr lang="cs-CZ" sz="1100" b="1" baseline="0">
              <a:solidFill>
                <a:sysClr val="windowText" lastClr="000000"/>
              </a:solidFill>
            </a:rPr>
            <a:t> znění)</a:t>
          </a:r>
          <a:endParaRPr lang="cs-CZ" sz="1100" b="1">
            <a:solidFill>
              <a:sysClr val="windowText" lastClr="000000"/>
            </a:solidFill>
          </a:endParaRPr>
        </a:p>
        <a:p>
          <a:pPr>
            <a:spcBef>
              <a:spcPts val="600"/>
            </a:spcBef>
          </a:pPr>
          <a:r>
            <a:rPr lang="cs-CZ" sz="1100"/>
            <a:t>18)</a:t>
          </a:r>
          <a:r>
            <a:rPr lang="cs-CZ" sz="1100" baseline="0"/>
            <a:t> </a:t>
          </a:r>
          <a:r>
            <a:rPr lang="cs-CZ" sz="1100"/>
            <a:t>„podnikem v obtížích“ se rozumí podnik, v jehož případě nastane alespoň jedna z následujících okolností:</a:t>
          </a:r>
        </a:p>
        <a:p>
          <a:pPr>
            <a:spcBef>
              <a:spcPts val="600"/>
            </a:spcBef>
          </a:pPr>
          <a:r>
            <a:rPr lang="cs-CZ" sz="1100"/>
            <a:t>a)</a:t>
          </a:r>
          <a:r>
            <a:rPr lang="cs-CZ" sz="1100" baseline="0"/>
            <a:t> </a:t>
          </a:r>
          <a:r>
            <a:rPr lang="cs-CZ" sz="1100"/>
            <a:t>V případě společnosti s ručením omezeným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upsaného základního kapitálu. Tento případ nastává, když je výsledek odečtení kumulovaných ztrát od rezerv (a všech dalších prvků, jež se obecně považují za vlastní kapitál společnosti) negativní a svou výší překračuje polovinu upsaného základního kapitálu.</a:t>
          </a:r>
          <a:r>
            <a:rPr lang="cs-CZ" sz="1100" baseline="0"/>
            <a:t> P</a:t>
          </a:r>
          <a:r>
            <a:rPr lang="cs-CZ" sz="1100"/>
            <a:t>ro účely tohoto ustanovení se za „společnost s ručením omezeným“ považují zejména formy podniků uvedené v příloze I směrnice 2013/34/EU (4) a „základní kapitál“ zahrnuje případně jakékoli emisní ážio.</a:t>
          </a:r>
        </a:p>
        <a:p>
          <a:pPr>
            <a:spcBef>
              <a:spcPts val="600"/>
            </a:spcBef>
          </a:pPr>
          <a:r>
            <a:rPr lang="cs-CZ" sz="1100"/>
            <a:t>b)</a:t>
          </a:r>
          <a:r>
            <a:rPr lang="cs-CZ" sz="1100" baseline="0"/>
            <a:t> </a:t>
          </a:r>
          <a:r>
            <a:rPr lang="cs-CZ" sz="1100"/>
            <a:t>V případě společnosti, v níž alespoň někteří společníci plně ručí za závazky společnosti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jejího vlastního kapitálu zaznamenaného v účetnictví této společnosti. Pro účely tohoto ustanovení se za „společnost, v níž alespoň někteří společníci plně ručí za závazky společnosti“ považují zejména formy podniků uvedené v příloze II směrnice 2013/34/EU.</a:t>
          </a:r>
        </a:p>
        <a:p>
          <a:pPr>
            <a:spcBef>
              <a:spcPts val="600"/>
            </a:spcBef>
          </a:pPr>
          <a:r>
            <a:rPr lang="cs-CZ" sz="1100"/>
            <a:t>c)</a:t>
          </a:r>
          <a:r>
            <a:rPr lang="cs-CZ" sz="1100" baseline="0"/>
            <a:t> </a:t>
          </a:r>
          <a:r>
            <a:rPr lang="cs-CZ" sz="1100"/>
            <a:t>Jestliže vůči podniku bylo zahájeno kolektivní úpadkové řízení nebo tento podnik splňuje kritéria vnitrostátního práva pro zahájení kolektivního úpadkového řízení na žádost svých věřitelů.</a:t>
          </a:r>
        </a:p>
        <a:p>
          <a:pPr>
            <a:spcBef>
              <a:spcPts val="600"/>
            </a:spcBef>
          </a:pPr>
          <a:r>
            <a:rPr lang="cs-CZ" sz="1100"/>
            <a:t>d) Jestliže podnik obdržel podporu na záchranu a zatím nesplatil půjčku nebo neukončil záruku nebo jestliže obdržel podporu na restrukturalizaci a stále se na něj uplatňuje plán restrukturalizace.</a:t>
          </a:r>
        </a:p>
        <a:p>
          <a:pPr>
            <a:spcBef>
              <a:spcPts val="600"/>
            </a:spcBef>
          </a:pPr>
          <a:r>
            <a:rPr lang="cs-CZ" sz="1100"/>
            <a:t>e)</a:t>
          </a:r>
          <a:r>
            <a:rPr lang="cs-CZ" sz="1100" baseline="0"/>
            <a:t> </a:t>
          </a:r>
          <a:r>
            <a:rPr lang="cs-CZ" sz="1100"/>
            <a:t>V případě podniku, který není malým nebo středním podnikem, kde v uplynulých dvou letech:</a:t>
          </a:r>
        </a:p>
        <a:p>
          <a:pPr>
            <a:spcBef>
              <a:spcPts val="600"/>
            </a:spcBef>
          </a:pPr>
          <a:r>
            <a:rPr lang="cs-CZ" sz="1100"/>
            <a:t>1)</a:t>
          </a:r>
          <a:r>
            <a:rPr lang="cs-CZ" sz="1100" baseline="0"/>
            <a:t> </a:t>
          </a:r>
          <a:r>
            <a:rPr lang="cs-CZ" sz="1100"/>
            <a:t>účetní poměr dluhu společnosti k vlastnímu kapitálu je vyšší než 7,5 a</a:t>
          </a:r>
        </a:p>
        <a:p>
          <a:pPr>
            <a:spcBef>
              <a:spcPts val="600"/>
            </a:spcBef>
          </a:pPr>
          <a:r>
            <a:rPr lang="cs-CZ" sz="1100"/>
            <a:t>2)</a:t>
          </a:r>
          <a:r>
            <a:rPr lang="cs-CZ" sz="1100" baseline="0"/>
            <a:t> </a:t>
          </a:r>
          <a:r>
            <a:rPr lang="cs-CZ" sz="1100"/>
            <a:t>poměr úrokového krytí hospodářského výsledku společnosti před úroky, zdaněním a odpisy (EBITDA) je nižší než 1,0.</a:t>
          </a:r>
        </a:p>
        <a:p>
          <a:pPr>
            <a:spcBef>
              <a:spcPts val="600"/>
            </a:spcBef>
          </a:pPr>
          <a:endParaRPr lang="cs-CZ" sz="1100"/>
        </a:p>
        <a:p>
          <a:pPr>
            <a:spcBef>
              <a:spcPts val="600"/>
            </a:spcBef>
          </a:pPr>
          <a:r>
            <a:rPr lang="cs-CZ" sz="1100" i="1"/>
            <a:t>( 4 )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konyprolidi.cz/cs/2002-503" TargetMode="External"/><Relationship Id="rId3" Type="http://schemas.openxmlformats.org/officeDocument/2006/relationships/hyperlink" Target="https://www.zakonyprolidi.cz/cs/2002-504" TargetMode="External"/><Relationship Id="rId7" Type="http://schemas.openxmlformats.org/officeDocument/2006/relationships/hyperlink" Target="https://www.zakonyprolidi.cz/cs/2002-502" TargetMode="External"/><Relationship Id="rId2" Type="http://schemas.openxmlformats.org/officeDocument/2006/relationships/hyperlink" Target="https://www.zakonyprolidi.cz/cs/2002-500" TargetMode="External"/><Relationship Id="rId1" Type="http://schemas.openxmlformats.org/officeDocument/2006/relationships/hyperlink" Target="https://www.zakonyprolidi.cz/cs/2002-500" TargetMode="External"/><Relationship Id="rId6" Type="http://schemas.openxmlformats.org/officeDocument/2006/relationships/hyperlink" Target="https://www.zakonyprolidi.cz/cs/2002-501" TargetMode="External"/><Relationship Id="rId5" Type="http://schemas.openxmlformats.org/officeDocument/2006/relationships/hyperlink" Target="https://www.zakonyprolidi.cz/cs/2015-325" TargetMode="External"/><Relationship Id="rId10" Type="http://schemas.openxmlformats.org/officeDocument/2006/relationships/drawing" Target="../drawings/drawing1.xml"/><Relationship Id="rId4" Type="http://schemas.openxmlformats.org/officeDocument/2006/relationships/hyperlink" Target="https://www.zakonyprolidi.cz/cs/2009-410"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6.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P61"/>
  <sheetViews>
    <sheetView showGridLines="0" tabSelected="1" zoomScale="90" zoomScaleNormal="90" workbookViewId="0">
      <selection activeCell="D10" sqref="D10"/>
    </sheetView>
  </sheetViews>
  <sheetFormatPr defaultColWidth="11" defaultRowHeight="14.25" x14ac:dyDescent="0.25"/>
  <cols>
    <col min="1" max="1" width="6.25" style="5" customWidth="1"/>
    <col min="2" max="2" width="43.25" style="5" customWidth="1"/>
    <col min="3" max="3" width="10.5" style="5" customWidth="1"/>
    <col min="4" max="4" width="29.25" style="13" customWidth="1"/>
    <col min="5" max="5" width="29.125" style="13" customWidth="1"/>
    <col min="6" max="6" width="25.75" style="13" customWidth="1"/>
    <col min="7" max="7" width="23.75" style="13" customWidth="1"/>
    <col min="8" max="8" width="21.875" style="13" customWidth="1"/>
    <col min="9" max="9" width="21.875" style="13" bestFit="1" customWidth="1"/>
    <col min="10" max="10" width="20.25" style="13" bestFit="1" customWidth="1"/>
    <col min="11" max="11" width="12.75" style="13" customWidth="1"/>
    <col min="12" max="12" width="38.75" style="13" customWidth="1"/>
    <col min="13" max="13" width="11" style="5" customWidth="1"/>
    <col min="14" max="14" width="24.25" style="5" customWidth="1"/>
    <col min="15" max="15" width="11" style="5" customWidth="1"/>
    <col min="16" max="16" width="24.375" style="5" customWidth="1"/>
    <col min="17" max="16384" width="11" style="5"/>
  </cols>
  <sheetData>
    <row r="1" spans="2:2" ht="20.25" customHeight="1" x14ac:dyDescent="0.25"/>
    <row r="2" spans="2:2" ht="23.25" x14ac:dyDescent="0.35">
      <c r="B2" s="320" t="s">
        <v>331</v>
      </c>
    </row>
    <row r="3" spans="2:2" ht="15" x14ac:dyDescent="0.2">
      <c r="B3" s="155" t="s">
        <v>249</v>
      </c>
    </row>
    <row r="6" spans="2:2" ht="15.75" x14ac:dyDescent="0.25">
      <c r="B6" s="321" t="s">
        <v>332</v>
      </c>
    </row>
    <row r="7" spans="2:2" ht="15" x14ac:dyDescent="0.25">
      <c r="B7" s="322" t="s">
        <v>384</v>
      </c>
    </row>
    <row r="9" spans="2:2" ht="39" customHeight="1" x14ac:dyDescent="0.25">
      <c r="B9" s="135" t="s">
        <v>327</v>
      </c>
    </row>
    <row r="10" spans="2:2" ht="15" x14ac:dyDescent="0.25">
      <c r="B10" s="175"/>
    </row>
    <row r="11" spans="2:2" ht="39" customHeight="1" x14ac:dyDescent="0.25">
      <c r="B11" s="136" t="s">
        <v>328</v>
      </c>
    </row>
    <row r="12" spans="2:2" ht="15" x14ac:dyDescent="0.25">
      <c r="B12" s="175"/>
    </row>
    <row r="13" spans="2:2" ht="39" customHeight="1" x14ac:dyDescent="0.25">
      <c r="B13" s="136" t="s">
        <v>329</v>
      </c>
    </row>
    <row r="14" spans="2:2" ht="15" x14ac:dyDescent="0.25">
      <c r="B14" s="175"/>
    </row>
    <row r="15" spans="2:2" ht="39" customHeight="1" x14ac:dyDescent="0.25">
      <c r="B15" s="136" t="s">
        <v>330</v>
      </c>
    </row>
    <row r="30" spans="2:3" ht="23.25" x14ac:dyDescent="0.25">
      <c r="B30" s="143" t="s">
        <v>360</v>
      </c>
    </row>
    <row r="31" spans="2:3" ht="18" customHeight="1" x14ac:dyDescent="0.2">
      <c r="B31" s="412" t="s">
        <v>250</v>
      </c>
      <c r="C31" s="412"/>
    </row>
    <row r="32" spans="2:3" ht="12" customHeight="1" thickBot="1" x14ac:dyDescent="0.3">
      <c r="B32" s="323"/>
      <c r="C32" s="323"/>
    </row>
    <row r="33" spans="2:16" ht="50.65" customHeight="1" x14ac:dyDescent="0.25">
      <c r="B33" s="416" t="s">
        <v>31</v>
      </c>
      <c r="C33" s="423" t="s">
        <v>327</v>
      </c>
      <c r="D33" s="424"/>
      <c r="E33" s="424"/>
      <c r="F33" s="424"/>
      <c r="G33" s="424"/>
      <c r="H33" s="424"/>
      <c r="I33" s="424"/>
      <c r="J33" s="425"/>
      <c r="K33" s="420" t="s">
        <v>333</v>
      </c>
      <c r="L33" s="398"/>
      <c r="M33" s="410" t="s">
        <v>329</v>
      </c>
      <c r="N33" s="411"/>
      <c r="O33" s="397" t="s">
        <v>341</v>
      </c>
      <c r="P33" s="398"/>
    </row>
    <row r="34" spans="2:16" ht="35.1" customHeight="1" x14ac:dyDescent="0.25">
      <c r="B34" s="417"/>
      <c r="C34" s="426" t="s">
        <v>48</v>
      </c>
      <c r="D34" s="415" t="s">
        <v>32</v>
      </c>
      <c r="E34" s="415"/>
      <c r="F34" s="324" t="s">
        <v>33</v>
      </c>
      <c r="G34" s="324" t="s">
        <v>35</v>
      </c>
      <c r="H34" s="324" t="s">
        <v>200</v>
      </c>
      <c r="I34" s="324" t="s">
        <v>201</v>
      </c>
      <c r="J34" s="325" t="s">
        <v>202</v>
      </c>
      <c r="K34" s="405" t="s">
        <v>48</v>
      </c>
      <c r="L34" s="326" t="s">
        <v>85</v>
      </c>
      <c r="M34" s="408" t="s">
        <v>338</v>
      </c>
      <c r="N34" s="327"/>
      <c r="O34" s="408" t="s">
        <v>338</v>
      </c>
      <c r="P34" s="328"/>
    </row>
    <row r="35" spans="2:16" ht="87.6" customHeight="1" x14ac:dyDescent="0.25">
      <c r="B35" s="417"/>
      <c r="C35" s="427"/>
      <c r="D35" s="324" t="s">
        <v>346</v>
      </c>
      <c r="E35" s="324" t="s">
        <v>347</v>
      </c>
      <c r="F35" s="324" t="s">
        <v>34</v>
      </c>
      <c r="G35" s="324" t="s">
        <v>36</v>
      </c>
      <c r="H35" s="324" t="s">
        <v>203</v>
      </c>
      <c r="I35" s="324" t="s">
        <v>204</v>
      </c>
      <c r="J35" s="325" t="s">
        <v>205</v>
      </c>
      <c r="K35" s="406"/>
      <c r="L35" s="326" t="s">
        <v>349</v>
      </c>
      <c r="M35" s="408"/>
      <c r="N35" s="329" t="s">
        <v>350</v>
      </c>
      <c r="O35" s="408"/>
      <c r="P35" s="329" t="s">
        <v>350</v>
      </c>
    </row>
    <row r="36" spans="2:16" ht="168.75" customHeight="1" thickBot="1" x14ac:dyDescent="0.3">
      <c r="B36" s="418"/>
      <c r="C36" s="428"/>
      <c r="D36" s="330" t="s">
        <v>364</v>
      </c>
      <c r="E36" s="331" t="s">
        <v>365</v>
      </c>
      <c r="F36" s="332" t="s">
        <v>367</v>
      </c>
      <c r="G36" s="333" t="s">
        <v>353</v>
      </c>
      <c r="H36" s="332" t="s">
        <v>334</v>
      </c>
      <c r="I36" s="334" t="s">
        <v>337</v>
      </c>
      <c r="J36" s="335" t="s">
        <v>352</v>
      </c>
      <c r="K36" s="407"/>
      <c r="L36" s="336" t="s">
        <v>354</v>
      </c>
      <c r="M36" s="409"/>
      <c r="N36" s="337" t="s">
        <v>339</v>
      </c>
      <c r="O36" s="409"/>
      <c r="P36" s="338" t="s">
        <v>340</v>
      </c>
    </row>
    <row r="37" spans="2:16" ht="22.5" customHeight="1" x14ac:dyDescent="0.25">
      <c r="B37" s="339" t="s">
        <v>257</v>
      </c>
      <c r="C37" s="340"/>
      <c r="D37" s="77" t="s">
        <v>56</v>
      </c>
      <c r="E37" s="77" t="s">
        <v>56</v>
      </c>
      <c r="F37" s="78" t="s">
        <v>56</v>
      </c>
      <c r="G37" s="79" t="s">
        <v>56</v>
      </c>
      <c r="H37" s="80" t="s">
        <v>56</v>
      </c>
      <c r="I37" s="80" t="s">
        <v>56</v>
      </c>
      <c r="J37" s="81" t="s">
        <v>56</v>
      </c>
      <c r="K37" s="82" t="s">
        <v>229</v>
      </c>
      <c r="L37" s="83" t="s">
        <v>56</v>
      </c>
      <c r="M37" s="399" t="s">
        <v>351</v>
      </c>
      <c r="N37" s="400"/>
      <c r="O37" s="399" t="s">
        <v>348</v>
      </c>
      <c r="P37" s="400"/>
    </row>
    <row r="38" spans="2:16" ht="27" customHeight="1" x14ac:dyDescent="0.25">
      <c r="B38" s="341" t="s">
        <v>4</v>
      </c>
      <c r="C38" s="342" t="s">
        <v>49</v>
      </c>
      <c r="D38" s="343" t="s">
        <v>5</v>
      </c>
      <c r="E38" s="343" t="s">
        <v>5</v>
      </c>
      <c r="F38" s="344" t="s">
        <v>230</v>
      </c>
      <c r="G38" s="345" t="s">
        <v>231</v>
      </c>
      <c r="H38" s="343" t="s">
        <v>208</v>
      </c>
      <c r="I38" s="343" t="s">
        <v>209</v>
      </c>
      <c r="J38" s="346" t="s">
        <v>209</v>
      </c>
      <c r="K38" s="347" t="s">
        <v>91</v>
      </c>
      <c r="L38" s="348" t="s">
        <v>93</v>
      </c>
      <c r="M38" s="401"/>
      <c r="N38" s="402"/>
      <c r="O38" s="401"/>
      <c r="P38" s="402"/>
    </row>
    <row r="39" spans="2:16" ht="24" customHeight="1" x14ac:dyDescent="0.25">
      <c r="B39" s="341" t="s">
        <v>6</v>
      </c>
      <c r="C39" s="342" t="s">
        <v>49</v>
      </c>
      <c r="D39" s="343" t="s">
        <v>7</v>
      </c>
      <c r="E39" s="343" t="s">
        <v>7</v>
      </c>
      <c r="F39" s="343" t="s">
        <v>38</v>
      </c>
      <c r="G39" s="349" t="s">
        <v>38</v>
      </c>
      <c r="H39" s="343" t="s">
        <v>207</v>
      </c>
      <c r="I39" s="343" t="s">
        <v>206</v>
      </c>
      <c r="J39" s="346" t="s">
        <v>206</v>
      </c>
      <c r="K39" s="347" t="s">
        <v>38</v>
      </c>
      <c r="L39" s="348" t="s">
        <v>38</v>
      </c>
      <c r="M39" s="401"/>
      <c r="N39" s="402"/>
      <c r="O39" s="401"/>
      <c r="P39" s="402"/>
    </row>
    <row r="40" spans="2:16" ht="24.75" customHeight="1" x14ac:dyDescent="0.25">
      <c r="B40" s="341" t="s">
        <v>77</v>
      </c>
      <c r="C40" s="342" t="s">
        <v>49</v>
      </c>
      <c r="D40" s="343" t="s">
        <v>78</v>
      </c>
      <c r="E40" s="350" t="s">
        <v>38</v>
      </c>
      <c r="F40" s="350" t="s">
        <v>38</v>
      </c>
      <c r="G40" s="351" t="s">
        <v>38</v>
      </c>
      <c r="H40" s="343" t="s">
        <v>221</v>
      </c>
      <c r="I40" s="350" t="s">
        <v>224</v>
      </c>
      <c r="J40" s="352" t="s">
        <v>229</v>
      </c>
      <c r="K40" s="347" t="s">
        <v>38</v>
      </c>
      <c r="L40" s="353" t="s">
        <v>38</v>
      </c>
      <c r="M40" s="401"/>
      <c r="N40" s="402"/>
      <c r="O40" s="401"/>
      <c r="P40" s="402"/>
    </row>
    <row r="41" spans="2:16" ht="33.6" customHeight="1" x14ac:dyDescent="0.25">
      <c r="B41" s="341" t="s">
        <v>40</v>
      </c>
      <c r="C41" s="342" t="s">
        <v>49</v>
      </c>
      <c r="D41" s="343" t="s">
        <v>11</v>
      </c>
      <c r="E41" s="343" t="s">
        <v>11</v>
      </c>
      <c r="F41" s="344" t="s">
        <v>232</v>
      </c>
      <c r="G41" s="345" t="s">
        <v>233</v>
      </c>
      <c r="H41" s="343" t="s">
        <v>212</v>
      </c>
      <c r="I41" s="343" t="s">
        <v>213</v>
      </c>
      <c r="J41" s="346" t="s">
        <v>213</v>
      </c>
      <c r="K41" s="347" t="s">
        <v>92</v>
      </c>
      <c r="L41" s="348" t="s">
        <v>96</v>
      </c>
      <c r="M41" s="401"/>
      <c r="N41" s="402"/>
      <c r="O41" s="401"/>
      <c r="P41" s="402"/>
    </row>
    <row r="42" spans="2:16" ht="25.5" customHeight="1" x14ac:dyDescent="0.25">
      <c r="B42" s="341" t="s">
        <v>39</v>
      </c>
      <c r="C42" s="342" t="s">
        <v>49</v>
      </c>
      <c r="D42" s="343" t="s">
        <v>13</v>
      </c>
      <c r="E42" s="343" t="s">
        <v>13</v>
      </c>
      <c r="F42" s="344" t="s">
        <v>234</v>
      </c>
      <c r="G42" s="345" t="s">
        <v>235</v>
      </c>
      <c r="H42" s="343" t="s">
        <v>214</v>
      </c>
      <c r="I42" s="343" t="s">
        <v>215</v>
      </c>
      <c r="J42" s="346" t="s">
        <v>215</v>
      </c>
      <c r="K42" s="347" t="s">
        <v>92</v>
      </c>
      <c r="L42" s="348" t="s">
        <v>96</v>
      </c>
      <c r="M42" s="401"/>
      <c r="N42" s="402"/>
      <c r="O42" s="401"/>
      <c r="P42" s="402"/>
    </row>
    <row r="43" spans="2:16" ht="78.599999999999994" customHeight="1" x14ac:dyDescent="0.25">
      <c r="B43" s="341" t="s">
        <v>42</v>
      </c>
      <c r="C43" s="342"/>
      <c r="D43" s="343" t="s">
        <v>51</v>
      </c>
      <c r="E43" s="343" t="s">
        <v>242</v>
      </c>
      <c r="F43" s="344" t="s">
        <v>244</v>
      </c>
      <c r="G43" s="345" t="s">
        <v>243</v>
      </c>
      <c r="H43" s="343" t="s">
        <v>210</v>
      </c>
      <c r="I43" s="343" t="s">
        <v>211</v>
      </c>
      <c r="J43" s="346" t="s">
        <v>211</v>
      </c>
      <c r="K43" s="347" t="s">
        <v>95</v>
      </c>
      <c r="L43" s="348" t="s">
        <v>94</v>
      </c>
      <c r="M43" s="401"/>
      <c r="N43" s="402"/>
      <c r="O43" s="401"/>
      <c r="P43" s="402"/>
    </row>
    <row r="44" spans="2:16" ht="44.1" customHeight="1" x14ac:dyDescent="0.25">
      <c r="B44" s="354" t="s">
        <v>101</v>
      </c>
      <c r="C44" s="342" t="s">
        <v>49</v>
      </c>
      <c r="D44" s="343" t="s">
        <v>21</v>
      </c>
      <c r="E44" s="343" t="s">
        <v>21</v>
      </c>
      <c r="F44" s="343" t="s">
        <v>66</v>
      </c>
      <c r="G44" s="349" t="s">
        <v>57</v>
      </c>
      <c r="H44" s="343" t="s">
        <v>226</v>
      </c>
      <c r="I44" s="343" t="s">
        <v>216</v>
      </c>
      <c r="J44" s="346" t="s">
        <v>217</v>
      </c>
      <c r="K44" s="347" t="s">
        <v>91</v>
      </c>
      <c r="L44" s="348" t="s">
        <v>97</v>
      </c>
      <c r="M44" s="401"/>
      <c r="N44" s="402"/>
      <c r="O44" s="401"/>
      <c r="P44" s="402"/>
    </row>
    <row r="45" spans="2:16" ht="24" customHeight="1" x14ac:dyDescent="0.25">
      <c r="B45" s="341" t="s">
        <v>43</v>
      </c>
      <c r="C45" s="342" t="s">
        <v>50</v>
      </c>
      <c r="D45" s="343" t="s">
        <v>24</v>
      </c>
      <c r="E45" s="343" t="s">
        <v>24</v>
      </c>
      <c r="F45" s="343" t="s">
        <v>67</v>
      </c>
      <c r="G45" s="349" t="s">
        <v>58</v>
      </c>
      <c r="H45" s="343" t="s">
        <v>218</v>
      </c>
      <c r="I45" s="343" t="s">
        <v>218</v>
      </c>
      <c r="J45" s="346" t="s">
        <v>228</v>
      </c>
      <c r="K45" s="347" t="s">
        <v>38</v>
      </c>
      <c r="L45" s="348" t="s">
        <v>38</v>
      </c>
      <c r="M45" s="401"/>
      <c r="N45" s="402"/>
      <c r="O45" s="401"/>
      <c r="P45" s="402"/>
    </row>
    <row r="46" spans="2:16" ht="30" customHeight="1" x14ac:dyDescent="0.25">
      <c r="B46" s="341" t="s">
        <v>356</v>
      </c>
      <c r="C46" s="342" t="s">
        <v>50</v>
      </c>
      <c r="D46" s="343" t="s">
        <v>26</v>
      </c>
      <c r="E46" s="343" t="s">
        <v>26</v>
      </c>
      <c r="F46" s="343" t="s">
        <v>68</v>
      </c>
      <c r="G46" s="349" t="s">
        <v>59</v>
      </c>
      <c r="H46" s="343" t="s">
        <v>223</v>
      </c>
      <c r="I46" s="343" t="s">
        <v>219</v>
      </c>
      <c r="J46" s="346" t="s">
        <v>220</v>
      </c>
      <c r="K46" s="413" t="s">
        <v>355</v>
      </c>
      <c r="L46" s="414"/>
      <c r="M46" s="401"/>
      <c r="N46" s="402"/>
      <c r="O46" s="401"/>
      <c r="P46" s="402"/>
    </row>
    <row r="47" spans="2:16" ht="28.5" x14ac:dyDescent="0.25">
      <c r="B47" s="341" t="s">
        <v>44</v>
      </c>
      <c r="C47" s="342" t="s">
        <v>50</v>
      </c>
      <c r="D47" s="355" t="s">
        <v>28</v>
      </c>
      <c r="E47" s="355" t="s">
        <v>28</v>
      </c>
      <c r="F47" s="343" t="s">
        <v>37</v>
      </c>
      <c r="G47" s="349" t="s">
        <v>60</v>
      </c>
      <c r="H47" s="343" t="s">
        <v>222</v>
      </c>
      <c r="I47" s="343" t="s">
        <v>225</v>
      </c>
      <c r="J47" s="346" t="s">
        <v>227</v>
      </c>
      <c r="K47" s="347" t="s">
        <v>92</v>
      </c>
      <c r="L47" s="348" t="s">
        <v>96</v>
      </c>
      <c r="M47" s="401"/>
      <c r="N47" s="402"/>
      <c r="O47" s="401"/>
      <c r="P47" s="402"/>
    </row>
    <row r="48" spans="2:16" ht="27" customHeight="1" x14ac:dyDescent="0.25">
      <c r="B48" s="341" t="s">
        <v>45</v>
      </c>
      <c r="C48" s="342"/>
      <c r="D48" s="343" t="s">
        <v>76</v>
      </c>
      <c r="E48" s="343" t="s">
        <v>76</v>
      </c>
      <c r="F48" s="343" t="s">
        <v>76</v>
      </c>
      <c r="G48" s="356" t="s">
        <v>76</v>
      </c>
      <c r="H48" s="355" t="s">
        <v>76</v>
      </c>
      <c r="I48" s="357"/>
      <c r="J48" s="358"/>
      <c r="K48" s="347"/>
      <c r="L48" s="348" t="s">
        <v>76</v>
      </c>
      <c r="M48" s="401"/>
      <c r="N48" s="402"/>
      <c r="O48" s="401"/>
      <c r="P48" s="402"/>
    </row>
    <row r="49" spans="2:16" ht="81" customHeight="1" thickBot="1" x14ac:dyDescent="0.3">
      <c r="B49" s="359" t="s">
        <v>47</v>
      </c>
      <c r="C49" s="360"/>
      <c r="D49" s="361" t="s">
        <v>52</v>
      </c>
      <c r="E49" s="361" t="s">
        <v>55</v>
      </c>
      <c r="F49" s="361" t="s">
        <v>53</v>
      </c>
      <c r="G49" s="362" t="s">
        <v>54</v>
      </c>
      <c r="H49" s="361"/>
      <c r="I49" s="361"/>
      <c r="J49" s="308"/>
      <c r="K49" s="363"/>
      <c r="L49" s="364"/>
      <c r="M49" s="403"/>
      <c r="N49" s="404"/>
      <c r="O49" s="403"/>
      <c r="P49" s="404"/>
    </row>
    <row r="50" spans="2:16" ht="15" thickBot="1" x14ac:dyDescent="0.3">
      <c r="B50" s="17"/>
      <c r="C50" s="17"/>
      <c r="D50" s="17"/>
      <c r="E50" s="17"/>
      <c r="F50" s="17"/>
      <c r="G50" s="17"/>
      <c r="H50" s="17"/>
      <c r="I50" s="17"/>
      <c r="J50" s="17"/>
      <c r="K50" s="8"/>
      <c r="L50" s="8"/>
    </row>
    <row r="51" spans="2:16" ht="246.75" customHeight="1" thickBot="1" x14ac:dyDescent="0.3">
      <c r="B51" s="17"/>
      <c r="C51" s="17"/>
      <c r="D51" s="17"/>
      <c r="E51" s="17"/>
      <c r="F51" s="421" t="s">
        <v>241</v>
      </c>
      <c r="G51" s="422"/>
      <c r="H51" s="17"/>
      <c r="I51" s="17"/>
      <c r="J51" s="17"/>
      <c r="K51" s="8"/>
      <c r="L51" s="8"/>
    </row>
    <row r="52" spans="2:16" ht="14.65" customHeight="1" x14ac:dyDescent="0.25">
      <c r="K52" s="12"/>
    </row>
    <row r="53" spans="2:16" ht="14.25" customHeight="1" x14ac:dyDescent="0.25">
      <c r="K53" s="12"/>
      <c r="L53" s="12"/>
    </row>
    <row r="54" spans="2:16" x14ac:dyDescent="0.25">
      <c r="K54" s="12"/>
      <c r="L54" s="12"/>
    </row>
    <row r="55" spans="2:16" x14ac:dyDescent="0.25">
      <c r="K55" s="12"/>
      <c r="L55" s="12"/>
    </row>
    <row r="56" spans="2:16" x14ac:dyDescent="0.25">
      <c r="L56" s="419"/>
    </row>
    <row r="57" spans="2:16" x14ac:dyDescent="0.25">
      <c r="L57" s="419"/>
    </row>
    <row r="58" spans="2:16" x14ac:dyDescent="0.25">
      <c r="L58" s="419"/>
    </row>
    <row r="59" spans="2:16" x14ac:dyDescent="0.25">
      <c r="L59" s="419"/>
    </row>
    <row r="60" spans="2:16" x14ac:dyDescent="0.25">
      <c r="L60" s="419"/>
    </row>
    <row r="61" spans="2:16" x14ac:dyDescent="0.25">
      <c r="L61" s="419"/>
    </row>
  </sheetData>
  <sheetProtection algorithmName="SHA-512" hashValue="M7HcG0zY9emEnGdrGK3363xkh/KKUg9gf4fx+YOstoXJMe73BxepXn3dQVEiXuE3kfvc7pcSlraozkhATBbSDg==" saltValue="j4GaoNEG8udUi2Lux9N7Pw==" spinCount="100000" sheet="1" objects="1" scenarios="1"/>
  <mergeCells count="17">
    <mergeCell ref="B31:C31"/>
    <mergeCell ref="K46:L46"/>
    <mergeCell ref="D34:E34"/>
    <mergeCell ref="B33:B36"/>
    <mergeCell ref="L60:L61"/>
    <mergeCell ref="L56:L59"/>
    <mergeCell ref="K33:L33"/>
    <mergeCell ref="F51:G51"/>
    <mergeCell ref="C33:J33"/>
    <mergeCell ref="C34:C36"/>
    <mergeCell ref="O33:P33"/>
    <mergeCell ref="M37:N49"/>
    <mergeCell ref="K34:K36"/>
    <mergeCell ref="M34:M36"/>
    <mergeCell ref="O34:O36"/>
    <mergeCell ref="O37:P49"/>
    <mergeCell ref="M33:N33"/>
  </mergeCells>
  <hyperlinks>
    <hyperlink ref="D37" r:id="rId1" xr:uid="{00000000-0004-0000-0000-000000000000}"/>
    <hyperlink ref="E37" r:id="rId2" xr:uid="{00000000-0004-0000-0000-000001000000}"/>
    <hyperlink ref="F37" r:id="rId3" xr:uid="{00000000-0004-0000-0000-000002000000}"/>
    <hyperlink ref="G37" r:id="rId4" xr:uid="{00000000-0004-0000-0000-000003000000}"/>
    <hyperlink ref="L37" r:id="rId5" xr:uid="{00000000-0004-0000-0000-000004000000}"/>
    <hyperlink ref="H37" r:id="rId6" xr:uid="{00000000-0004-0000-0000-000005000000}"/>
    <hyperlink ref="I37" r:id="rId7" xr:uid="{00000000-0004-0000-0000-000006000000}"/>
    <hyperlink ref="J37" r:id="rId8" xr:uid="{00000000-0004-0000-0000-000007000000}"/>
    <hyperlink ref="B9" location="'2. Účetnictví'!A1" display="(PODVOJNÉ) ÚČETNICTVÍ" xr:uid="{00000000-0004-0000-0000-000008000000}"/>
    <hyperlink ref="B11" location="'2. Jednoduché účetnictví '!A1" display="JEDNODUCHÉ ÚČETNICTVÍ" xr:uid="{00000000-0004-0000-0000-000009000000}"/>
    <hyperlink ref="B13" location="'2. Daňová evidence'!A1" display="DAŇOVÁ EVIDENCE" xr:uid="{00000000-0004-0000-0000-00000A000000}"/>
    <hyperlink ref="B15" location="'2. Paušální (výdaje, daň)'!A1" display="PAUŠÁLNÍ (VÝDAJE, NEBO DAŇ)" xr:uid="{00000000-0004-0000-0000-00000B000000}"/>
  </hyperlinks>
  <pageMargins left="0.7" right="0.7" top="0.78740157499999996" bottom="0.78740157499999996" header="0.3" footer="0.3"/>
  <pageSetup paperSize="8" scale="66"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2:G61"/>
  <sheetViews>
    <sheetView topLeftCell="A22"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30.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48" t="s">
        <v>80</v>
      </c>
      <c r="C4" s="449"/>
      <c r="D4" s="530">
        <f>'2. Účetnictví'!E4</f>
        <v>0</v>
      </c>
      <c r="E4" s="530"/>
      <c r="F4" s="531"/>
    </row>
    <row r="5" spans="1:6" hidden="1" x14ac:dyDescent="0.25">
      <c r="A5" s="21"/>
      <c r="B5" s="451" t="s">
        <v>0</v>
      </c>
      <c r="C5" s="440"/>
      <c r="D5" s="532"/>
      <c r="E5" s="532"/>
      <c r="F5" s="533"/>
    </row>
    <row r="6" spans="1:6" x14ac:dyDescent="0.25">
      <c r="A6" s="21"/>
      <c r="B6" s="451" t="s">
        <v>1</v>
      </c>
      <c r="C6" s="440"/>
      <c r="D6" s="532">
        <f>'2. Účetnictví'!E6</f>
        <v>0</v>
      </c>
      <c r="E6" s="532"/>
      <c r="F6" s="533"/>
    </row>
    <row r="7" spans="1:6" x14ac:dyDescent="0.25">
      <c r="A7" s="21"/>
      <c r="B7" s="451" t="s">
        <v>246</v>
      </c>
      <c r="C7" s="440"/>
      <c r="D7" s="535">
        <f>'2. Účetnictví'!E8</f>
        <v>42222</v>
      </c>
      <c r="E7" s="535"/>
      <c r="F7" s="536"/>
    </row>
    <row r="8" spans="1:6" ht="16.5" thickBot="1" x14ac:dyDescent="0.3">
      <c r="A8" s="21"/>
      <c r="B8" s="464" t="s">
        <v>273</v>
      </c>
      <c r="C8" s="465"/>
      <c r="D8" s="462" t="str">
        <f>'2. Účetnictví'!E11</f>
        <v/>
      </c>
      <c r="E8" s="462"/>
      <c r="F8" s="463"/>
    </row>
    <row r="9" spans="1:6" ht="16.5" thickBot="1" x14ac:dyDescent="0.3">
      <c r="A9" s="21"/>
      <c r="B9" s="13"/>
      <c r="C9" s="17"/>
      <c r="D9" s="5"/>
      <c r="E9" s="5"/>
      <c r="F9" s="13"/>
    </row>
    <row r="10" spans="1:6" ht="30" customHeight="1" x14ac:dyDescent="0.25">
      <c r="A10" s="21"/>
      <c r="B10" s="448" t="s">
        <v>262</v>
      </c>
      <c r="C10" s="566"/>
      <c r="D10" s="539" t="str">
        <f>'2. Účetnictví'!E16</f>
        <v>Vyberte variantu</v>
      </c>
      <c r="E10" s="539"/>
      <c r="F10" s="540"/>
    </row>
    <row r="11" spans="1:6" ht="27.6" customHeight="1" x14ac:dyDescent="0.25">
      <c r="A11" s="21"/>
      <c r="B11" s="486" t="s">
        <v>256</v>
      </c>
      <c r="C11" s="568"/>
      <c r="D11" s="466" t="str">
        <f>'2. Účetnictví'!E17</f>
        <v>Vyberte variantu</v>
      </c>
      <c r="E11" s="466"/>
      <c r="F11" s="541"/>
    </row>
    <row r="12" spans="1:6" ht="56.45" customHeight="1" x14ac:dyDescent="0.25">
      <c r="A12" s="21"/>
      <c r="B12" s="451" t="s">
        <v>258</v>
      </c>
      <c r="C12" s="559"/>
      <c r="D12" s="466" t="str">
        <f>'2. Účetnictví'!E18</f>
        <v>Vyberte variantu</v>
      </c>
      <c r="E12" s="466"/>
      <c r="F12" s="541"/>
    </row>
    <row r="13" spans="1:6" ht="70.900000000000006" customHeight="1" thickBot="1" x14ac:dyDescent="0.3">
      <c r="A13" s="21"/>
      <c r="B13" s="488" t="s">
        <v>255</v>
      </c>
      <c r="C13" s="569"/>
      <c r="D13" s="542" t="str">
        <f>Výpočty!D46</f>
        <v/>
      </c>
      <c r="E13" s="542"/>
      <c r="F13" s="543"/>
    </row>
    <row r="14" spans="1:6" hidden="1" x14ac:dyDescent="0.25">
      <c r="A14" s="21"/>
      <c r="B14" s="455" t="s">
        <v>79</v>
      </c>
      <c r="C14" s="456"/>
      <c r="D14" s="564" t="s">
        <v>177</v>
      </c>
      <c r="E14" s="564"/>
      <c r="F14" s="565"/>
    </row>
    <row r="15" spans="1:6" ht="16.5" hidden="1" thickBot="1" x14ac:dyDescent="0.3">
      <c r="A15" s="21"/>
      <c r="B15" s="560" t="s">
        <v>248</v>
      </c>
      <c r="C15" s="561"/>
      <c r="D15" s="562" t="s">
        <v>71</v>
      </c>
      <c r="E15" s="562"/>
      <c r="F15" s="563"/>
    </row>
    <row r="17" spans="1:5" ht="16.5" thickBot="1" x14ac:dyDescent="0.3"/>
    <row r="18" spans="1:5" ht="16.5"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row>
    <row r="19" spans="1:5" ht="16.5" thickBot="1" x14ac:dyDescent="0.3">
      <c r="A19" s="21"/>
      <c r="B19" s="13"/>
      <c r="C19" s="13"/>
      <c r="D19" s="5"/>
      <c r="E19" s="5"/>
    </row>
    <row r="20" spans="1:5" x14ac:dyDescent="0.25">
      <c r="A20" s="21"/>
      <c r="B20" s="448" t="s">
        <v>313</v>
      </c>
      <c r="C20" s="472" t="s">
        <v>61</v>
      </c>
      <c r="D20" s="547" t="s">
        <v>64</v>
      </c>
      <c r="E20" s="28" t="str">
        <f>IF(OR(D18="kritéria A,C,D,E",D18="kritéria A,C,D"),"RELEVANTNÍ","NERELEVANTNÍ")</f>
        <v>NERELEVANTNÍ</v>
      </c>
    </row>
    <row r="21" spans="1:5" x14ac:dyDescent="0.25">
      <c r="A21" s="21"/>
      <c r="B21" s="451"/>
      <c r="C21" s="473"/>
      <c r="D21" s="548"/>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229</v>
      </c>
      <c r="D24" s="31" t="s">
        <v>229</v>
      </c>
      <c r="E24" s="50">
        <f>'2. Účetnictví'!F30</f>
        <v>0</v>
      </c>
    </row>
    <row r="25" spans="1:5" ht="16.5" thickBot="1" x14ac:dyDescent="0.3">
      <c r="A25" s="21"/>
      <c r="B25" s="549" t="s">
        <v>14</v>
      </c>
      <c r="C25" s="550"/>
      <c r="D25" s="551"/>
      <c r="E25" s="25" t="str">
        <f>IF(E22&lt;((E23+E24)/2),"Ano","Ne")</f>
        <v>Ne</v>
      </c>
    </row>
    <row r="26" spans="1:5" ht="16.5" thickBot="1" x14ac:dyDescent="0.3">
      <c r="A26" s="21"/>
      <c r="B26" s="13"/>
      <c r="C26" s="13"/>
      <c r="D26" s="21"/>
      <c r="E26" s="21"/>
    </row>
    <row r="27" spans="1:5" x14ac:dyDescent="0.25">
      <c r="A27" s="21"/>
      <c r="B27" s="567" t="s">
        <v>314</v>
      </c>
      <c r="C27" s="547" t="s">
        <v>61</v>
      </c>
      <c r="D27" s="547" t="s">
        <v>64</v>
      </c>
      <c r="E27" s="28" t="str">
        <f>IF(OR(D18="kritéria B,C,D,E",D18="kritéria B,C,D"),"RELEVANTNÍ","NERELEVANTNÍ")</f>
        <v>NERELEVANTNÍ</v>
      </c>
    </row>
    <row r="28" spans="1:5" x14ac:dyDescent="0.25">
      <c r="A28" s="21"/>
      <c r="B28" s="455"/>
      <c r="C28" s="548"/>
      <c r="D28" s="548"/>
      <c r="E28" s="33" t="str">
        <f>IF($D$8&gt;1,$D$8,"")</f>
        <v/>
      </c>
    </row>
    <row r="29" spans="1:5" x14ac:dyDescent="0.25">
      <c r="A29" s="21"/>
      <c r="B29" s="29" t="s">
        <v>15</v>
      </c>
      <c r="C29" s="30" t="s">
        <v>293</v>
      </c>
      <c r="D29" s="31" t="s">
        <v>5</v>
      </c>
      <c r="E29" s="50">
        <f>'2. Účetnictví'!F35</f>
        <v>0</v>
      </c>
    </row>
    <row r="30" spans="1:5" x14ac:dyDescent="0.25">
      <c r="A30" s="21"/>
      <c r="B30" s="29" t="s">
        <v>10</v>
      </c>
      <c r="C30" s="30" t="s">
        <v>293</v>
      </c>
      <c r="D30" s="31" t="s">
        <v>307</v>
      </c>
      <c r="E30" s="50">
        <f>'2. Účetnictví'!F36</f>
        <v>0</v>
      </c>
    </row>
    <row r="31" spans="1:5" x14ac:dyDescent="0.25">
      <c r="A31" s="21"/>
      <c r="B31" s="29" t="s">
        <v>12</v>
      </c>
      <c r="C31" s="30" t="s">
        <v>293</v>
      </c>
      <c r="D31" s="31" t="s">
        <v>301</v>
      </c>
      <c r="E31" s="50">
        <f>'2. Účetnictví'!F37</f>
        <v>0</v>
      </c>
    </row>
    <row r="32" spans="1:5" ht="16.5" thickBot="1" x14ac:dyDescent="0.3">
      <c r="A32" s="21"/>
      <c r="B32" s="477" t="s">
        <v>17</v>
      </c>
      <c r="C32" s="478"/>
      <c r="D32" s="478"/>
      <c r="E32" s="25" t="str">
        <f>IF(AND((E30+E31)&gt;0,E29&gt;0),"Ne",(IF((ABS(E30+E31))&gt;((E29-(E30+E31))/2),"Ano","Ne")))</f>
        <v>Ne</v>
      </c>
    </row>
    <row r="34" spans="2:7" ht="35.450000000000003" customHeight="1" x14ac:dyDescent="0.25">
      <c r="B34" s="27" t="s">
        <v>102</v>
      </c>
      <c r="C34" s="430" t="s">
        <v>61</v>
      </c>
      <c r="D34" s="430"/>
      <c r="E34" s="28" t="s">
        <v>46</v>
      </c>
      <c r="F34" s="13"/>
    </row>
    <row r="35" spans="2:7" ht="37.15" customHeight="1" x14ac:dyDescent="0.25">
      <c r="B35" s="44" t="s">
        <v>323</v>
      </c>
      <c r="C35" s="474" t="s">
        <v>63</v>
      </c>
      <c r="D35" s="474"/>
      <c r="E35" s="54" t="str">
        <f>'2. Účetnictví'!F41</f>
        <v>Vyberte variantu</v>
      </c>
      <c r="F35" s="546" t="s">
        <v>325</v>
      </c>
      <c r="G35" s="546"/>
    </row>
    <row r="36" spans="2:7" ht="40.9" customHeight="1" x14ac:dyDescent="0.25">
      <c r="B36" s="44" t="s">
        <v>324</v>
      </c>
      <c r="C36" s="474" t="s">
        <v>69</v>
      </c>
      <c r="D36" s="474"/>
      <c r="E36" s="54" t="str">
        <f>'2. Účetnictví'!F42</f>
        <v>Vyberte variantu</v>
      </c>
      <c r="F36" s="546"/>
      <c r="G36" s="546"/>
    </row>
    <row r="37" spans="2:7" ht="16.5" thickBot="1" x14ac:dyDescent="0.3">
      <c r="B37" s="475" t="s">
        <v>19</v>
      </c>
      <c r="C37" s="476"/>
      <c r="D37" s="476"/>
      <c r="E37" s="25" t="str">
        <f>IF(OR(E35="Ano",E36="Ano"),"Ano","Ne")</f>
        <v>Ne</v>
      </c>
      <c r="F37" s="43" t="s">
        <v>366</v>
      </c>
    </row>
    <row r="38" spans="2:7" ht="16.5" thickBot="1" x14ac:dyDescent="0.3">
      <c r="B38" s="12"/>
      <c r="C38" s="12"/>
      <c r="D38" s="9"/>
      <c r="E38" s="5"/>
      <c r="F38" s="13"/>
    </row>
    <row r="39" spans="2:7" ht="43.9" customHeight="1" x14ac:dyDescent="0.25">
      <c r="B39" s="27" t="s">
        <v>103</v>
      </c>
      <c r="C39" s="430" t="s">
        <v>61</v>
      </c>
      <c r="D39" s="430"/>
      <c r="E39" s="28" t="s">
        <v>46</v>
      </c>
      <c r="F39" s="13"/>
    </row>
    <row r="40" spans="2:7" ht="57" customHeight="1" x14ac:dyDescent="0.25">
      <c r="B40" s="44" t="s">
        <v>513</v>
      </c>
      <c r="C40" s="474" t="s">
        <v>69</v>
      </c>
      <c r="D40" s="474"/>
      <c r="E40" s="54" t="str">
        <f>'2. Účetnictví'!F46</f>
        <v>Vyberte variantu</v>
      </c>
      <c r="F40" s="13"/>
    </row>
    <row r="41" spans="2:7" ht="45" customHeight="1" x14ac:dyDescent="0.25">
      <c r="B41" s="44" t="s">
        <v>176</v>
      </c>
      <c r="C41" s="474" t="s">
        <v>69</v>
      </c>
      <c r="D41" s="474"/>
      <c r="E41" s="54" t="str">
        <f>'2. Účetnictví'!F47</f>
        <v>Vyberte variantu</v>
      </c>
      <c r="F41" s="13"/>
    </row>
    <row r="42" spans="2:7" ht="16.5" thickBot="1" x14ac:dyDescent="0.3">
      <c r="B42" s="475" t="s">
        <v>20</v>
      </c>
      <c r="C42" s="476"/>
      <c r="D42" s="476"/>
      <c r="E42" s="25" t="str">
        <f>IF(OR(E40="Ano",E41="Ano"),"Ano","Ne")</f>
        <v>Ne</v>
      </c>
      <c r="F42" s="43" t="s">
        <v>366</v>
      </c>
    </row>
    <row r="43" spans="2:7" ht="16.5" thickBot="1" x14ac:dyDescent="0.3">
      <c r="B43" s="12"/>
      <c r="C43" s="12"/>
      <c r="D43" s="9"/>
      <c r="E43" s="5"/>
      <c r="F43" s="13"/>
    </row>
    <row r="44" spans="2:7" ht="16.5" thickBot="1" x14ac:dyDescent="0.3">
      <c r="B44" s="481" t="s">
        <v>104</v>
      </c>
      <c r="C44" s="482"/>
      <c r="D44" s="483"/>
      <c r="E44" s="26" t="str">
        <f>IF(OR(D18="kritéria A,C,D,E",D18="kritéria B,C,D,E",D18="kritéria C,D,E"),"RELEVANTNÍ","NERELEVANTNÍ")</f>
        <v>NERELEVANTNÍ</v>
      </c>
      <c r="F44" s="17"/>
    </row>
    <row r="45" spans="2:7" ht="16.5" thickBot="1" x14ac:dyDescent="0.3">
      <c r="B45" s="12"/>
      <c r="C45" s="12"/>
      <c r="D45" s="9"/>
      <c r="E45" s="21"/>
      <c r="F45" s="21"/>
    </row>
    <row r="46" spans="2:7" ht="37.15"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37</v>
      </c>
      <c r="E48" s="49">
        <f>'2. Účetnictví'!F55</f>
        <v>0</v>
      </c>
      <c r="F48" s="50">
        <f>'2. Účetnictví'!G55</f>
        <v>0</v>
      </c>
    </row>
    <row r="49" spans="2:6" x14ac:dyDescent="0.25">
      <c r="B49" s="434" t="s">
        <v>88</v>
      </c>
      <c r="C49" s="435"/>
      <c r="D49" s="435"/>
      <c r="E49" s="6" t="str">
        <f>IF((E47)=0,"NR",(E48/E47))</f>
        <v>NR</v>
      </c>
      <c r="F49" s="7" t="str">
        <f>IF((F47)=0,"NR",(F48/F47))</f>
        <v>NR</v>
      </c>
    </row>
    <row r="50" spans="2:6" ht="16.5" thickBot="1" x14ac:dyDescent="0.3">
      <c r="B50" s="475" t="s">
        <v>22</v>
      </c>
      <c r="C50" s="476"/>
      <c r="D50" s="476"/>
      <c r="E50" s="10" t="str">
        <f>IF((E47)="0","Ano",IF((E49)&lt;0,"Chyba",IF(E49&gt;7.5,"Ano","Ne")))</f>
        <v>Ano</v>
      </c>
      <c r="F50" s="11" t="str">
        <f>IF((F47)="0","Ano",IF((F49)&lt;0,"Chyba",IF(F49&gt;7.5,"Ano","Ne")))</f>
        <v>Ano</v>
      </c>
    </row>
    <row r="51" spans="2:6" ht="16.5" thickBot="1" x14ac:dyDescent="0.3">
      <c r="B51" s="12"/>
      <c r="C51" s="12"/>
      <c r="D51" s="9"/>
      <c r="E51" s="21"/>
      <c r="F51" s="21"/>
    </row>
    <row r="52" spans="2:6" ht="37.9" customHeight="1" x14ac:dyDescent="0.25">
      <c r="B52" s="22" t="s">
        <v>106</v>
      </c>
      <c r="C52" s="45" t="s">
        <v>61</v>
      </c>
      <c r="D52" s="45" t="s">
        <v>98</v>
      </c>
      <c r="E52" s="23" t="str">
        <f>IF($D$8&gt;1,$D$8,"")</f>
        <v/>
      </c>
      <c r="F52" s="24" t="e">
        <f>IF($D$8&gt;1,$D$8-1,"")</f>
        <v>#VALUE!</v>
      </c>
    </row>
    <row r="53" spans="2:6" x14ac:dyDescent="0.25">
      <c r="B53" s="18" t="s">
        <v>23</v>
      </c>
      <c r="C53" s="19" t="s">
        <v>50</v>
      </c>
      <c r="D53" s="20" t="s">
        <v>308</v>
      </c>
      <c r="E53" s="49">
        <f>'2. Účetnictví'!F61</f>
        <v>0</v>
      </c>
      <c r="F53" s="50">
        <f>'2. Účetnictví'!G61</f>
        <v>0</v>
      </c>
    </row>
    <row r="54" spans="2:6" x14ac:dyDescent="0.25">
      <c r="B54" s="18" t="s">
        <v>25</v>
      </c>
      <c r="C54" s="19" t="s">
        <v>50</v>
      </c>
      <c r="D54" s="20" t="s">
        <v>309</v>
      </c>
      <c r="E54" s="49">
        <f>'2. Účetnictví'!F62</f>
        <v>0</v>
      </c>
      <c r="F54" s="50">
        <f>'2. Účetnictví'!G62</f>
        <v>0</v>
      </c>
    </row>
    <row r="55" spans="2:6" x14ac:dyDescent="0.25">
      <c r="B55" s="18" t="s">
        <v>27</v>
      </c>
      <c r="C55" s="19" t="s">
        <v>50</v>
      </c>
      <c r="D55" s="20" t="s">
        <v>310</v>
      </c>
      <c r="E55" s="49">
        <f>'2. Účetnictví'!F63</f>
        <v>0</v>
      </c>
      <c r="F55" s="50">
        <f>'2. Účetnictví'!G63</f>
        <v>0</v>
      </c>
    </row>
    <row r="56" spans="2:6" x14ac:dyDescent="0.25">
      <c r="B56" s="434" t="s">
        <v>89</v>
      </c>
      <c r="C56" s="435"/>
      <c r="D56" s="435"/>
      <c r="E56" s="6" t="str">
        <f>IF(E54=0,"NR",(E53+E54+E55)/E54)</f>
        <v>NR</v>
      </c>
      <c r="F56" s="7" t="str">
        <f>IF(F54=0,"NR",(F53+F54+F55)/F54)</f>
        <v>NR</v>
      </c>
    </row>
    <row r="57" spans="2:6" ht="16.5" thickBot="1" x14ac:dyDescent="0.3">
      <c r="B57" s="475" t="s">
        <v>107</v>
      </c>
      <c r="C57" s="476"/>
      <c r="D57" s="476"/>
      <c r="E57" s="10" t="str">
        <f>IF((E56)="NR","NR",IF((E56)&lt;1,"Ano","Ne"))</f>
        <v>NR</v>
      </c>
      <c r="F57" s="11" t="str">
        <f>IF((F56)="NR","NR",IF((F56)&lt;1,"Ano","Ne"))</f>
        <v>NR</v>
      </c>
    </row>
    <row r="58" spans="2:6" ht="16.5" thickBot="1" x14ac:dyDescent="0.3">
      <c r="B58" s="12"/>
      <c r="C58" s="12"/>
      <c r="D58" s="9"/>
      <c r="E58" s="5"/>
      <c r="F58" s="13"/>
    </row>
    <row r="59" spans="2:6" ht="16.5" thickBot="1" x14ac:dyDescent="0.3">
      <c r="B59" s="495" t="s">
        <v>29</v>
      </c>
      <c r="C59" s="496"/>
      <c r="D59" s="497"/>
      <c r="E59" s="14" t="str">
        <f>IF(AND(E50="ANO",F50="Ano",E57="Ano",F57="Ano"),"Ano","Ne")</f>
        <v>Ne</v>
      </c>
      <c r="F59" s="43" t="s">
        <v>366</v>
      </c>
    </row>
    <row r="60" spans="2:6" ht="16.5" thickBot="1" x14ac:dyDescent="0.3">
      <c r="B60" s="12"/>
      <c r="C60" s="12"/>
      <c r="D60" s="9"/>
      <c r="E60" s="5"/>
      <c r="F60" s="13"/>
    </row>
    <row r="61" spans="2:6" ht="16.5" thickBot="1" x14ac:dyDescent="0.3">
      <c r="B61" s="492" t="s">
        <v>108</v>
      </c>
      <c r="C61" s="493"/>
      <c r="D61" s="494"/>
      <c r="E61" s="16" t="str">
        <f>IF(OR(E25="ANO",E32="Ano",E37="Ano",E42="Ano",E59="Ano"),"Ano","Ne")</f>
        <v>Ne</v>
      </c>
      <c r="F61" s="55"/>
    </row>
  </sheetData>
  <sheetProtection algorithmName="SHA-512" hashValue="ZeRkxxwijExb2EDBWCGcfX4MIIqH8enhSpA5ZPSr1bUjYj6o30aPD3mFY0mvOlJ6LHPNa9+jMiuRgoFZFTK+Tw==" saltValue="1pXSB79+vtlzlseb8HSGnA=="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55" priority="29" operator="beginsWith" text="RE">
      <formula>LEFT(A1,LEN("RE"))="RE"</formula>
    </cfRule>
    <cfRule type="containsText" dxfId="154" priority="30" operator="containsText" text="&quot;RELEVANTNÍ&quot;">
      <formula>NOT(ISERROR(SEARCH("""RELEVANTNÍ""",A1)))</formula>
    </cfRule>
  </conditionalFormatting>
  <conditionalFormatting sqref="A23:A33 A35:A38">
    <cfRule type="beginsWith" dxfId="153" priority="40" operator="beginsWith" text="RE">
      <formula>LEFT(A23,LEN("RE"))="RE"</formula>
    </cfRule>
    <cfRule type="containsText" dxfId="152" priority="41" operator="containsText" text="&quot;RELEVANTNÍ&quot;">
      <formula>NOT(ISERROR(SEARCH("""RELEVANTNÍ""",A23)))</formula>
    </cfRule>
  </conditionalFormatting>
  <conditionalFormatting sqref="A40:A61">
    <cfRule type="beginsWith" dxfId="151" priority="18" operator="beginsWith" text="RE">
      <formula>LEFT(A40,LEN("RE"))="RE"</formula>
    </cfRule>
    <cfRule type="containsText" dxfId="150" priority="19" operator="containsText" text="&quot;RELEVANTNÍ&quot;">
      <formula>NOT(ISERROR(SEARCH("""RELEVANTNÍ""",A40)))</formula>
    </cfRule>
  </conditionalFormatting>
  <conditionalFormatting sqref="E21">
    <cfRule type="beginsWith" dxfId="149" priority="10" operator="beginsWith" text="RE">
      <formula>LEFT(E21,LEN("RE"))="RE"</formula>
    </cfRule>
  </conditionalFormatting>
  <conditionalFormatting sqref="E22:E24">
    <cfRule type="expression" dxfId="148" priority="28">
      <formula>$E$20="NERELEVANTNÍ"</formula>
    </cfRule>
  </conditionalFormatting>
  <conditionalFormatting sqref="E25">
    <cfRule type="containsText" dxfId="147" priority="42" operator="containsText" text="Ne">
      <formula>NOT(ISERROR(SEARCH("Ne",E25)))</formula>
    </cfRule>
    <cfRule type="containsText" dxfId="146" priority="43" operator="containsText" text="Ano">
      <formula>NOT(ISERROR(SEARCH("Ano",E25)))</formula>
    </cfRule>
  </conditionalFormatting>
  <conditionalFormatting sqref="E28">
    <cfRule type="beginsWith" dxfId="145" priority="9" operator="beginsWith" text="RE">
      <formula>LEFT(E28,LEN("RE"))="RE"</formula>
    </cfRule>
  </conditionalFormatting>
  <conditionalFormatting sqref="E29:E31">
    <cfRule type="expression" dxfId="144" priority="26">
      <formula>$E$27="NERELEVANTNÍ"</formula>
    </cfRule>
  </conditionalFormatting>
  <conditionalFormatting sqref="E30:E31">
    <cfRule type="beginsWith" dxfId="143" priority="27" operator="beginsWith" text="RE">
      <formula>LEFT(E30,LEN("RE"))="RE"</formula>
    </cfRule>
  </conditionalFormatting>
  <conditionalFormatting sqref="E32 E37 E42 E59 E61">
    <cfRule type="containsText" dxfId="142" priority="45" operator="containsText" text="Ano">
      <formula>NOT(ISERROR(SEARCH("Ano",E32)))</formula>
    </cfRule>
  </conditionalFormatting>
  <conditionalFormatting sqref="E32 E42 E37 E59 E61">
    <cfRule type="containsText" dxfId="141" priority="44" operator="containsText" text="Ne">
      <formula>NOT(ISERROR(SEARCH("Ne",E32)))</formula>
    </cfRule>
  </conditionalFormatting>
  <conditionalFormatting sqref="E14:F15">
    <cfRule type="beginsWith" dxfId="140" priority="15" operator="beginsWith" text="RE">
      <formula>LEFT(E14,LEN("RE"))="RE"</formula>
    </cfRule>
  </conditionalFormatting>
  <conditionalFormatting sqref="E23:F27 E1:F9 E17:F17 E18 E19:F20 F21:F22 F28:F31 E32:F34 E42">
    <cfRule type="beginsWith" dxfId="139" priority="39" operator="beginsWith" text="RE">
      <formula>LEFT(E1,LEN("RE"))="RE"</formula>
    </cfRule>
  </conditionalFormatting>
  <conditionalFormatting sqref="E37:F39">
    <cfRule type="beginsWith" dxfId="138" priority="4" operator="beginsWith" text="RE">
      <formula>LEFT(E37,LEN("RE"))="RE"</formula>
    </cfRule>
  </conditionalFormatting>
  <conditionalFormatting sqref="E43:F46">
    <cfRule type="beginsWith" dxfId="137" priority="8" operator="beginsWith" text="RE">
      <formula>LEFT(E43,LEN("RE"))="RE"</formula>
    </cfRule>
  </conditionalFormatting>
  <conditionalFormatting sqref="E47:F48">
    <cfRule type="expression" dxfId="136" priority="22">
      <formula>$E$44="NERELEVANTNÍ"</formula>
    </cfRule>
  </conditionalFormatting>
  <conditionalFormatting sqref="E48:F48">
    <cfRule type="beginsWith" dxfId="135" priority="23" operator="beginsWith" text="RE">
      <formula>LEFT(E48,LEN("RE"))="RE"</formula>
    </cfRule>
  </conditionalFormatting>
  <conditionalFormatting sqref="E49:F52">
    <cfRule type="beginsWith" dxfId="134" priority="7" operator="beginsWith" text="RE">
      <formula>LEFT(E49,LEN("RE"))="RE"</formula>
    </cfRule>
  </conditionalFormatting>
  <conditionalFormatting sqref="E53:F55">
    <cfRule type="expression" dxfId="133" priority="20">
      <formula>$E$44="NERELEVANTNÍ"</formula>
    </cfRule>
  </conditionalFormatting>
  <conditionalFormatting sqref="E54:F54">
    <cfRule type="beginsWith" dxfId="132" priority="21" operator="beginsWith" text="RE">
      <formula>LEFT(E54,LEN("RE"))="RE"</formula>
    </cfRule>
  </conditionalFormatting>
  <conditionalFormatting sqref="E56:F61">
    <cfRule type="beginsWith" dxfId="131" priority="1" operator="beginsWith" text="RE">
      <formula>LEFT(E56,LEN("RE"))="RE"</formula>
    </cfRule>
  </conditionalFormatting>
  <conditionalFormatting sqref="F35">
    <cfRule type="beginsWith" dxfId="130" priority="5" operator="beginsWith" text="RE">
      <formula>LEFT(F35,LEN("RE"))="RE"</formula>
    </cfRule>
  </conditionalFormatting>
  <conditionalFormatting sqref="F40:F42">
    <cfRule type="beginsWith" dxfId="129"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'typy žadatelů'!$D$10:$D$26</xm:f>
          </x14:formula1>
          <xm:sqref>D14:F14</xm:sqref>
        </x14:dataValidation>
        <x14:dataValidation type="list" allowBlank="1" showInputMessage="1" showErrorMessage="1" xr:uid="{00000000-0002-0000-0A00-000001000000}">
          <x14:formula1>
            <xm:f>'typy žadatelů'!$B$78:$B$80</xm:f>
          </x14:formula1>
          <xm:sqref>D15:F15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H82"/>
  <sheetViews>
    <sheetView showGridLines="0" topLeftCell="A66" workbookViewId="0">
      <selection activeCell="A66" sqref="A1:XFD1048576"/>
    </sheetView>
  </sheetViews>
  <sheetFormatPr defaultColWidth="11" defaultRowHeight="12.75" x14ac:dyDescent="0.2"/>
  <cols>
    <col min="1" max="1" width="3.125" style="59" customWidth="1"/>
    <col min="2" max="2" width="47.5" style="65" customWidth="1"/>
    <col min="3" max="3" width="7.5" style="57" customWidth="1"/>
    <col min="4" max="4" width="47.5" style="59" customWidth="1"/>
    <col min="5" max="16384" width="11" style="59"/>
  </cols>
  <sheetData>
    <row r="2" spans="2:8" ht="15" x14ac:dyDescent="0.25">
      <c r="B2" s="56" t="s">
        <v>185</v>
      </c>
      <c r="D2" s="58" t="s">
        <v>186</v>
      </c>
    </row>
    <row r="3" spans="2:8" x14ac:dyDescent="0.2">
      <c r="B3" s="60" t="s">
        <v>177</v>
      </c>
      <c r="D3" s="60" t="s">
        <v>177</v>
      </c>
      <c r="H3" s="59" t="str">
        <f>""</f>
        <v/>
      </c>
    </row>
    <row r="4" spans="2:8" x14ac:dyDescent="0.2">
      <c r="B4" s="61" t="s">
        <v>183</v>
      </c>
      <c r="D4" s="61" t="s">
        <v>183</v>
      </c>
      <c r="H4" s="59" t="str">
        <f>""</f>
        <v/>
      </c>
    </row>
    <row r="5" spans="2:8" x14ac:dyDescent="0.2">
      <c r="B5" s="61" t="s">
        <v>112</v>
      </c>
      <c r="D5" s="61" t="s">
        <v>130</v>
      </c>
    </row>
    <row r="6" spans="2:8" x14ac:dyDescent="0.2">
      <c r="B6" s="61" t="s">
        <v>113</v>
      </c>
      <c r="D6" s="61" t="s">
        <v>141</v>
      </c>
    </row>
    <row r="7" spans="2:8" x14ac:dyDescent="0.2">
      <c r="B7" s="61" t="s">
        <v>114</v>
      </c>
      <c r="D7" s="61" t="s">
        <v>184</v>
      </c>
    </row>
    <row r="8" spans="2:8" x14ac:dyDescent="0.2">
      <c r="B8" s="61" t="s">
        <v>173</v>
      </c>
    </row>
    <row r="9" spans="2:8" ht="15" x14ac:dyDescent="0.25">
      <c r="B9" s="61" t="s">
        <v>172</v>
      </c>
      <c r="D9" s="58" t="s">
        <v>187</v>
      </c>
    </row>
    <row r="10" spans="2:8" x14ac:dyDescent="0.2">
      <c r="B10" s="61" t="s">
        <v>115</v>
      </c>
      <c r="D10" s="60" t="s">
        <v>177</v>
      </c>
    </row>
    <row r="11" spans="2:8" x14ac:dyDescent="0.2">
      <c r="B11" s="61" t="s">
        <v>116</v>
      </c>
      <c r="D11" s="61" t="s">
        <v>183</v>
      </c>
    </row>
    <row r="12" spans="2:8" x14ac:dyDescent="0.2">
      <c r="B12" s="61" t="s">
        <v>117</v>
      </c>
      <c r="D12" s="61" t="s">
        <v>112</v>
      </c>
    </row>
    <row r="13" spans="2:8" x14ac:dyDescent="0.2">
      <c r="B13" s="61" t="s">
        <v>171</v>
      </c>
      <c r="D13" s="61" t="s">
        <v>113</v>
      </c>
    </row>
    <row r="14" spans="2:8" x14ac:dyDescent="0.2">
      <c r="B14" s="61" t="s">
        <v>198</v>
      </c>
      <c r="D14" s="61" t="s">
        <v>114</v>
      </c>
    </row>
    <row r="15" spans="2:8" x14ac:dyDescent="0.2">
      <c r="B15" s="61" t="s">
        <v>170</v>
      </c>
      <c r="D15" s="61" t="s">
        <v>115</v>
      </c>
    </row>
    <row r="16" spans="2:8" x14ac:dyDescent="0.2">
      <c r="B16" s="61" t="s">
        <v>118</v>
      </c>
      <c r="D16" s="61" t="s">
        <v>171</v>
      </c>
    </row>
    <row r="17" spans="2:4" x14ac:dyDescent="0.2">
      <c r="B17" s="61" t="s">
        <v>119</v>
      </c>
      <c r="D17" s="61" t="s">
        <v>198</v>
      </c>
    </row>
    <row r="18" spans="2:4" x14ac:dyDescent="0.2">
      <c r="B18" s="61" t="s">
        <v>120</v>
      </c>
      <c r="D18" s="61" t="s">
        <v>118</v>
      </c>
    </row>
    <row r="19" spans="2:4" x14ac:dyDescent="0.2">
      <c r="B19" s="61" t="s">
        <v>169</v>
      </c>
      <c r="D19" s="61" t="s">
        <v>119</v>
      </c>
    </row>
    <row r="20" spans="2:4" x14ac:dyDescent="0.2">
      <c r="B20" s="61" t="s">
        <v>121</v>
      </c>
      <c r="D20" s="61" t="s">
        <v>120</v>
      </c>
    </row>
    <row r="21" spans="2:4" x14ac:dyDescent="0.2">
      <c r="B21" s="61" t="s">
        <v>168</v>
      </c>
      <c r="D21" s="61" t="s">
        <v>128</v>
      </c>
    </row>
    <row r="22" spans="2:4" x14ac:dyDescent="0.2">
      <c r="B22" s="61" t="s">
        <v>122</v>
      </c>
      <c r="D22" s="61" t="s">
        <v>130</v>
      </c>
    </row>
    <row r="23" spans="2:4" x14ac:dyDescent="0.2">
      <c r="B23" s="61" t="s">
        <v>123</v>
      </c>
      <c r="D23" s="61" t="s">
        <v>165</v>
      </c>
    </row>
    <row r="24" spans="2:4" x14ac:dyDescent="0.2">
      <c r="B24" s="61" t="s">
        <v>191</v>
      </c>
      <c r="D24" s="61" t="s">
        <v>152</v>
      </c>
    </row>
    <row r="25" spans="2:4" x14ac:dyDescent="0.2">
      <c r="B25" s="61" t="s">
        <v>124</v>
      </c>
      <c r="D25" s="61" t="s">
        <v>153</v>
      </c>
    </row>
    <row r="26" spans="2:4" x14ac:dyDescent="0.2">
      <c r="B26" s="61" t="s">
        <v>125</v>
      </c>
      <c r="D26" s="61" t="s">
        <v>184</v>
      </c>
    </row>
    <row r="27" spans="2:4" x14ac:dyDescent="0.2">
      <c r="B27" s="61" t="s">
        <v>126</v>
      </c>
    </row>
    <row r="28" spans="2:4" ht="15" x14ac:dyDescent="0.25">
      <c r="B28" s="61" t="s">
        <v>127</v>
      </c>
      <c r="D28" s="58" t="s">
        <v>188</v>
      </c>
    </row>
    <row r="29" spans="2:4" x14ac:dyDescent="0.2">
      <c r="B29" s="61" t="s">
        <v>195</v>
      </c>
      <c r="D29" s="60" t="s">
        <v>177</v>
      </c>
    </row>
    <row r="30" spans="2:4" x14ac:dyDescent="0.2">
      <c r="B30" s="61" t="s">
        <v>167</v>
      </c>
      <c r="D30" s="61" t="s">
        <v>173</v>
      </c>
    </row>
    <row r="31" spans="2:4" x14ac:dyDescent="0.2">
      <c r="B31" s="61" t="s">
        <v>166</v>
      </c>
      <c r="D31" s="61" t="s">
        <v>172</v>
      </c>
    </row>
    <row r="32" spans="2:4" x14ac:dyDescent="0.2">
      <c r="B32" s="61" t="s">
        <v>128</v>
      </c>
      <c r="D32" s="61" t="s">
        <v>116</v>
      </c>
    </row>
    <row r="33" spans="2:4" x14ac:dyDescent="0.2">
      <c r="B33" s="61" t="s">
        <v>192</v>
      </c>
      <c r="D33" s="61" t="s">
        <v>117</v>
      </c>
    </row>
    <row r="34" spans="2:4" x14ac:dyDescent="0.2">
      <c r="B34" s="61" t="s">
        <v>129</v>
      </c>
      <c r="D34" s="61" t="s">
        <v>170</v>
      </c>
    </row>
    <row r="35" spans="2:4" x14ac:dyDescent="0.2">
      <c r="B35" s="61" t="s">
        <v>130</v>
      </c>
      <c r="D35" s="61" t="s">
        <v>192</v>
      </c>
    </row>
    <row r="36" spans="2:4" x14ac:dyDescent="0.2">
      <c r="B36" s="61" t="s">
        <v>165</v>
      </c>
      <c r="D36" s="61" t="s">
        <v>129</v>
      </c>
    </row>
    <row r="37" spans="2:4" x14ac:dyDescent="0.2">
      <c r="B37" s="61" t="s">
        <v>164</v>
      </c>
      <c r="D37" s="61" t="s">
        <v>193</v>
      </c>
    </row>
    <row r="38" spans="2:4" x14ac:dyDescent="0.2">
      <c r="B38" s="61" t="s">
        <v>163</v>
      </c>
      <c r="D38" s="61" t="s">
        <v>131</v>
      </c>
    </row>
    <row r="39" spans="2:4" x14ac:dyDescent="0.2">
      <c r="B39" s="61" t="s">
        <v>193</v>
      </c>
      <c r="D39" s="61" t="s">
        <v>132</v>
      </c>
    </row>
    <row r="40" spans="2:4" x14ac:dyDescent="0.2">
      <c r="B40" s="61" t="s">
        <v>194</v>
      </c>
      <c r="D40" s="61" t="s">
        <v>133</v>
      </c>
    </row>
    <row r="41" spans="2:4" ht="25.5" x14ac:dyDescent="0.2">
      <c r="B41" s="61" t="s">
        <v>131</v>
      </c>
      <c r="D41" s="62" t="s">
        <v>196</v>
      </c>
    </row>
    <row r="42" spans="2:4" x14ac:dyDescent="0.2">
      <c r="B42" s="61" t="s">
        <v>132</v>
      </c>
      <c r="D42" s="61" t="s">
        <v>134</v>
      </c>
    </row>
    <row r="43" spans="2:4" x14ac:dyDescent="0.2">
      <c r="B43" s="61" t="s">
        <v>133</v>
      </c>
      <c r="D43" s="61" t="s">
        <v>135</v>
      </c>
    </row>
    <row r="44" spans="2:4" ht="25.5" x14ac:dyDescent="0.2">
      <c r="B44" s="62" t="s">
        <v>196</v>
      </c>
      <c r="D44" s="61" t="s">
        <v>136</v>
      </c>
    </row>
    <row r="45" spans="2:4" x14ac:dyDescent="0.2">
      <c r="B45" s="61" t="s">
        <v>134</v>
      </c>
      <c r="D45" s="61" t="s">
        <v>137</v>
      </c>
    </row>
    <row r="46" spans="2:4" x14ac:dyDescent="0.2">
      <c r="B46" s="61" t="s">
        <v>135</v>
      </c>
      <c r="D46" s="61" t="s">
        <v>180</v>
      </c>
    </row>
    <row r="47" spans="2:4" x14ac:dyDescent="0.2">
      <c r="B47" s="61" t="s">
        <v>136</v>
      </c>
      <c r="D47" s="61" t="s">
        <v>138</v>
      </c>
    </row>
    <row r="48" spans="2:4" x14ac:dyDescent="0.2">
      <c r="B48" s="61" t="s">
        <v>137</v>
      </c>
      <c r="D48" s="61" t="s">
        <v>139</v>
      </c>
    </row>
    <row r="49" spans="2:4" ht="25.5" x14ac:dyDescent="0.2">
      <c r="B49" s="61" t="s">
        <v>180</v>
      </c>
      <c r="D49" s="62" t="s">
        <v>197</v>
      </c>
    </row>
    <row r="50" spans="2:4" x14ac:dyDescent="0.2">
      <c r="B50" s="61" t="s">
        <v>138</v>
      </c>
      <c r="D50" s="61" t="s">
        <v>162</v>
      </c>
    </row>
    <row r="51" spans="2:4" x14ac:dyDescent="0.2">
      <c r="B51" s="61" t="s">
        <v>139</v>
      </c>
      <c r="D51" s="61" t="s">
        <v>182</v>
      </c>
    </row>
    <row r="52" spans="2:4" ht="25.5" x14ac:dyDescent="0.2">
      <c r="B52" s="62" t="s">
        <v>197</v>
      </c>
      <c r="D52" s="61" t="s">
        <v>181</v>
      </c>
    </row>
    <row r="53" spans="2:4" x14ac:dyDescent="0.2">
      <c r="B53" s="61" t="s">
        <v>162</v>
      </c>
      <c r="D53" s="61" t="s">
        <v>140</v>
      </c>
    </row>
    <row r="54" spans="2:4" x14ac:dyDescent="0.2">
      <c r="B54" s="61" t="s">
        <v>182</v>
      </c>
      <c r="D54" s="61" t="s">
        <v>147</v>
      </c>
    </row>
    <row r="55" spans="2:4" x14ac:dyDescent="0.2">
      <c r="B55" s="61" t="s">
        <v>181</v>
      </c>
      <c r="D55" s="61" t="s">
        <v>148</v>
      </c>
    </row>
    <row r="56" spans="2:4" x14ac:dyDescent="0.2">
      <c r="B56" s="61" t="s">
        <v>140</v>
      </c>
      <c r="D56" s="61" t="s">
        <v>149</v>
      </c>
    </row>
    <row r="57" spans="2:4" x14ac:dyDescent="0.2">
      <c r="B57" s="61" t="s">
        <v>141</v>
      </c>
      <c r="D57" s="61" t="s">
        <v>150</v>
      </c>
    </row>
    <row r="58" spans="2:4" x14ac:dyDescent="0.2">
      <c r="B58" s="61" t="s">
        <v>142</v>
      </c>
      <c r="D58" s="61" t="s">
        <v>151</v>
      </c>
    </row>
    <row r="59" spans="2:4" x14ac:dyDescent="0.2">
      <c r="B59" s="61" t="s">
        <v>143</v>
      </c>
      <c r="D59" s="61" t="s">
        <v>161</v>
      </c>
    </row>
    <row r="60" spans="2:4" x14ac:dyDescent="0.2">
      <c r="B60" s="61" t="s">
        <v>144</v>
      </c>
      <c r="D60" s="61" t="s">
        <v>184</v>
      </c>
    </row>
    <row r="61" spans="2:4" x14ac:dyDescent="0.2">
      <c r="B61" s="61" t="s">
        <v>145</v>
      </c>
    </row>
    <row r="62" spans="2:4" ht="15" x14ac:dyDescent="0.25">
      <c r="B62" s="61" t="s">
        <v>146</v>
      </c>
      <c r="D62" s="58" t="s">
        <v>189</v>
      </c>
    </row>
    <row r="63" spans="2:4" x14ac:dyDescent="0.2">
      <c r="B63" s="61" t="s">
        <v>147</v>
      </c>
      <c r="D63" s="60" t="s">
        <v>177</v>
      </c>
    </row>
    <row r="64" spans="2:4" x14ac:dyDescent="0.2">
      <c r="B64" s="61" t="s">
        <v>148</v>
      </c>
      <c r="D64" s="61"/>
    </row>
    <row r="65" spans="2:4" x14ac:dyDescent="0.2">
      <c r="B65" s="61" t="s">
        <v>149</v>
      </c>
      <c r="D65" s="61" t="s">
        <v>122</v>
      </c>
    </row>
    <row r="66" spans="2:4" x14ac:dyDescent="0.2">
      <c r="B66" s="61" t="s">
        <v>150</v>
      </c>
      <c r="D66" s="61" t="s">
        <v>123</v>
      </c>
    </row>
    <row r="67" spans="2:4" x14ac:dyDescent="0.2">
      <c r="B67" s="61" t="s">
        <v>190</v>
      </c>
      <c r="D67" s="61" t="s">
        <v>191</v>
      </c>
    </row>
    <row r="68" spans="2:4" x14ac:dyDescent="0.2">
      <c r="B68" s="61" t="s">
        <v>151</v>
      </c>
      <c r="D68" s="61" t="s">
        <v>125</v>
      </c>
    </row>
    <row r="69" spans="2:4" x14ac:dyDescent="0.2">
      <c r="B69" s="61" t="s">
        <v>152</v>
      </c>
      <c r="D69" s="61" t="s">
        <v>127</v>
      </c>
    </row>
    <row r="70" spans="2:4" x14ac:dyDescent="0.2">
      <c r="B70" s="61" t="s">
        <v>153</v>
      </c>
      <c r="D70" s="61" t="s">
        <v>195</v>
      </c>
    </row>
    <row r="71" spans="2:4" x14ac:dyDescent="0.2">
      <c r="B71" s="61" t="s">
        <v>161</v>
      </c>
      <c r="D71" s="61" t="s">
        <v>194</v>
      </c>
    </row>
    <row r="72" spans="2:4" x14ac:dyDescent="0.2">
      <c r="B72" s="61" t="s">
        <v>154</v>
      </c>
      <c r="D72" s="61" t="s">
        <v>142</v>
      </c>
    </row>
    <row r="73" spans="2:4" ht="25.5" x14ac:dyDescent="0.2">
      <c r="B73" s="62" t="s">
        <v>160</v>
      </c>
      <c r="D73" s="61" t="s">
        <v>143</v>
      </c>
    </row>
    <row r="74" spans="2:4" ht="25.5" x14ac:dyDescent="0.2">
      <c r="B74" s="62" t="s">
        <v>159</v>
      </c>
      <c r="D74" s="61" t="s">
        <v>144</v>
      </c>
    </row>
    <row r="75" spans="2:4" x14ac:dyDescent="0.2">
      <c r="B75" s="61" t="s">
        <v>157</v>
      </c>
      <c r="D75" s="61" t="s">
        <v>145</v>
      </c>
    </row>
    <row r="76" spans="2:4" x14ac:dyDescent="0.2">
      <c r="B76" s="61" t="s">
        <v>158</v>
      </c>
      <c r="D76" s="61" t="s">
        <v>146</v>
      </c>
    </row>
    <row r="77" spans="2:4" x14ac:dyDescent="0.2">
      <c r="B77" s="63"/>
      <c r="D77" s="61" t="s">
        <v>184</v>
      </c>
    </row>
    <row r="78" spans="2:4" x14ac:dyDescent="0.2">
      <c r="B78" s="64" t="s">
        <v>71</v>
      </c>
    </row>
    <row r="79" spans="2:4" ht="15" x14ac:dyDescent="0.25">
      <c r="B79" s="61" t="s">
        <v>2</v>
      </c>
      <c r="D79" s="58" t="s">
        <v>199</v>
      </c>
    </row>
    <row r="80" spans="2:4" x14ac:dyDescent="0.2">
      <c r="B80" s="61" t="s">
        <v>3</v>
      </c>
      <c r="D80" s="60" t="s">
        <v>177</v>
      </c>
    </row>
    <row r="81" spans="4:4" x14ac:dyDescent="0.2">
      <c r="D81" s="61" t="s">
        <v>115</v>
      </c>
    </row>
    <row r="82" spans="4:4" x14ac:dyDescent="0.2">
      <c r="D82" s="61" t="s">
        <v>184</v>
      </c>
    </row>
  </sheetData>
  <sheetProtection algorithmName="SHA-512" hashValue="jkoA7GE1+1sZnQPRKY+3xaIoDgWlC3UGc3LDmpzWYQe40wnOdNc8fKPtObyBDYW3aSWB83ivVDNiBDrR80oLNw==" saltValue="bQP3JeTcRjKjAP+XG8bEiA==" spinCount="100000" sheet="1" objects="1" scenarios="1"/>
  <conditionalFormatting sqref="C1:C1048576">
    <cfRule type="containsText" dxfId="128" priority="1" operator="containsText" text="B2">
      <formula>NOT(ISERROR(SEARCH("B2",C1)))</formula>
    </cfRule>
    <cfRule type="containsText" dxfId="127" priority="2" operator="containsText" text="B1">
      <formula>NOT(ISERROR(SEARCH("B1",C1)))</formula>
    </cfRule>
    <cfRule type="containsText" dxfId="126" priority="3" operator="containsText" text="A2">
      <formula>NOT(ISERROR(SEARCH("A2",C1)))</formula>
    </cfRule>
    <cfRule type="containsText" dxfId="125" priority="4" operator="containsText" text="A1">
      <formula>NOT(ISERROR(SEARCH("A1",C1)))</formula>
    </cfRule>
  </conditionalFormatting>
  <pageMargins left="0.7" right="0.7" top="0.75" bottom="0.75" header="0.3" footer="0.3"/>
  <pageSetup paperSize="9" scale="65"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2:H61"/>
  <sheetViews>
    <sheetView showGridLines="0" topLeftCell="A24" zoomScale="94" zoomScaleNormal="110" workbookViewId="0">
      <selection activeCell="B41" sqref="B41"/>
    </sheetView>
  </sheetViews>
  <sheetFormatPr defaultColWidth="11" defaultRowHeight="14.25" x14ac:dyDescent="0.25"/>
  <cols>
    <col min="1" max="1" width="5.75" style="5" customWidth="1"/>
    <col min="2" max="2" width="62.75" style="13" customWidth="1"/>
    <col min="3" max="3" width="9.625" style="17" customWidth="1"/>
    <col min="4" max="4" width="12.625" style="5" customWidth="1"/>
    <col min="5" max="5" width="17" style="5" customWidth="1"/>
    <col min="6" max="6" width="15.5" style="13" customWidth="1"/>
    <col min="7" max="7" width="28" style="12" customWidth="1"/>
    <col min="8" max="8" width="11" style="9" customWidth="1"/>
    <col min="9" max="16384" width="11" style="5"/>
  </cols>
  <sheetData>
    <row r="2" spans="1:6" ht="18" x14ac:dyDescent="0.25">
      <c r="B2" s="35" t="s">
        <v>272</v>
      </c>
      <c r="C2" s="36"/>
    </row>
    <row r="3" spans="1:6" ht="11.65" customHeight="1" thickBot="1" x14ac:dyDescent="0.3"/>
    <row r="4" spans="1:6" ht="21" customHeight="1" x14ac:dyDescent="0.25">
      <c r="A4" s="32" t="s">
        <v>74</v>
      </c>
      <c r="B4" s="448" t="s">
        <v>80</v>
      </c>
      <c r="C4" s="449"/>
      <c r="D4" s="530">
        <f>'2. Účetnictví'!E4</f>
        <v>0</v>
      </c>
      <c r="E4" s="530"/>
      <c r="F4" s="531"/>
    </row>
    <row r="5" spans="1:6" ht="15" hidden="1" x14ac:dyDescent="0.25">
      <c r="A5" s="21"/>
      <c r="B5" s="451" t="s">
        <v>0</v>
      </c>
      <c r="C5" s="440"/>
      <c r="D5" s="532"/>
      <c r="E5" s="532"/>
      <c r="F5" s="533"/>
    </row>
    <row r="6" spans="1:6" ht="21" customHeight="1" x14ac:dyDescent="0.25">
      <c r="A6" s="21"/>
      <c r="B6" s="451" t="s">
        <v>1</v>
      </c>
      <c r="C6" s="440"/>
      <c r="D6" s="534">
        <f>'2. Účetnictví'!E6</f>
        <v>0</v>
      </c>
      <c r="E6" s="532"/>
      <c r="F6" s="533"/>
    </row>
    <row r="7" spans="1:6" ht="28.9" customHeight="1" x14ac:dyDescent="0.25">
      <c r="A7" s="21"/>
      <c r="B7" s="451" t="s">
        <v>246</v>
      </c>
      <c r="C7" s="440"/>
      <c r="D7" s="535">
        <f>'2. Účetnictví'!E8</f>
        <v>42222</v>
      </c>
      <c r="E7" s="535"/>
      <c r="F7" s="536"/>
    </row>
    <row r="8" spans="1:6" ht="21" customHeight="1" thickBot="1" x14ac:dyDescent="0.3">
      <c r="A8" s="21"/>
      <c r="B8" s="488" t="s">
        <v>273</v>
      </c>
      <c r="C8" s="489"/>
      <c r="D8" s="537" t="str">
        <f>'2. Účetnictví'!E11</f>
        <v/>
      </c>
      <c r="E8" s="537"/>
      <c r="F8" s="538"/>
    </row>
    <row r="9" spans="1:6" ht="9.6" customHeight="1" thickBot="1" x14ac:dyDescent="0.3">
      <c r="A9" s="21"/>
    </row>
    <row r="10" spans="1:6" ht="21" customHeight="1" x14ac:dyDescent="0.25">
      <c r="A10" s="21"/>
      <c r="B10" s="448" t="s">
        <v>262</v>
      </c>
      <c r="C10" s="449"/>
      <c r="D10" s="539" t="str">
        <f>'2. Účetnictví'!E16</f>
        <v>Vyberte variantu</v>
      </c>
      <c r="E10" s="539"/>
      <c r="F10" s="540"/>
    </row>
    <row r="11" spans="1:6" s="9" customFormat="1" ht="21" customHeight="1" x14ac:dyDescent="0.25">
      <c r="A11" s="21"/>
      <c r="B11" s="486" t="s">
        <v>256</v>
      </c>
      <c r="C11" s="487"/>
      <c r="D11" s="466" t="str">
        <f>'2. Účetnictví'!E17</f>
        <v>Vyberte variantu</v>
      </c>
      <c r="E11" s="466"/>
      <c r="F11" s="541"/>
    </row>
    <row r="12" spans="1:6" s="9" customFormat="1" ht="21" customHeight="1" x14ac:dyDescent="0.25">
      <c r="A12" s="21"/>
      <c r="B12" s="451" t="s">
        <v>263</v>
      </c>
      <c r="C12" s="440"/>
      <c r="D12" s="466" t="str">
        <f>'2. Účetnictví'!E18</f>
        <v>Vyberte variantu</v>
      </c>
      <c r="E12" s="466"/>
      <c r="F12" s="541"/>
    </row>
    <row r="13" spans="1:6" s="9" customFormat="1" ht="33.6" customHeight="1" thickBot="1" x14ac:dyDescent="0.3">
      <c r="A13" s="21"/>
      <c r="B13" s="488" t="s">
        <v>236</v>
      </c>
      <c r="C13" s="489"/>
      <c r="D13" s="542" t="str">
        <f>Výpočty!D46</f>
        <v/>
      </c>
      <c r="E13" s="542"/>
      <c r="F13" s="543"/>
    </row>
    <row r="14" spans="1:6" s="9" customFormat="1" ht="21" hidden="1" customHeight="1" x14ac:dyDescent="0.25">
      <c r="A14" s="21"/>
      <c r="B14" s="455" t="s">
        <v>79</v>
      </c>
      <c r="C14" s="456"/>
      <c r="D14" s="576" t="s">
        <v>173</v>
      </c>
      <c r="E14" s="576"/>
      <c r="F14" s="577"/>
    </row>
    <row r="15" spans="1:6" s="9" customFormat="1" ht="21" hidden="1" customHeight="1" thickBot="1" x14ac:dyDescent="0.3">
      <c r="A15" s="21"/>
      <c r="B15" s="464" t="s">
        <v>248</v>
      </c>
      <c r="C15" s="465"/>
      <c r="D15" s="537" t="s">
        <v>71</v>
      </c>
      <c r="E15" s="537"/>
      <c r="F15" s="538"/>
    </row>
    <row r="17" spans="1:7" ht="15" thickBot="1" x14ac:dyDescent="0.3"/>
    <row r="18" spans="1:7" s="9" customFormat="1" ht="20.25" customHeight="1"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c r="F18" s="48"/>
      <c r="G18"/>
    </row>
    <row r="19" spans="1:7" s="9" customFormat="1" ht="7.9" customHeight="1" thickBot="1" x14ac:dyDescent="0.3">
      <c r="A19" s="32"/>
      <c r="B19" s="12"/>
      <c r="C19" s="12"/>
      <c r="D19" s="12"/>
      <c r="E19" s="12"/>
      <c r="F19" s="12"/>
      <c r="G19" s="12"/>
    </row>
    <row r="20" spans="1:7" s="9" customFormat="1" ht="20.25" customHeight="1" x14ac:dyDescent="0.25">
      <c r="A20" s="32"/>
      <c r="B20" s="448" t="s">
        <v>319</v>
      </c>
      <c r="C20" s="472" t="s">
        <v>61</v>
      </c>
      <c r="D20" s="547" t="s">
        <v>64</v>
      </c>
      <c r="E20" s="28" t="str">
        <f>IF(OR(D18="kritéria A,C,D,E",D18="kritéria A,C,D"),"RELEVANTNÍ","NERELEVANTNÍ")</f>
        <v>NERELEVANTNÍ</v>
      </c>
      <c r="F20" s="12"/>
      <c r="G20" s="12"/>
    </row>
    <row r="21" spans="1:7" s="9" customFormat="1" ht="20.25" customHeight="1" x14ac:dyDescent="0.25">
      <c r="A21" s="32"/>
      <c r="B21" s="451"/>
      <c r="C21" s="473"/>
      <c r="D21" s="548"/>
      <c r="E21" s="33" t="str">
        <f>IF($D$8&gt;1,$D$8,"")</f>
        <v/>
      </c>
      <c r="F21" s="12"/>
      <c r="G21" s="12"/>
    </row>
    <row r="22" spans="1:7" s="9" customFormat="1" ht="20.25" customHeight="1" x14ac:dyDescent="0.25">
      <c r="A22" s="32"/>
      <c r="B22" s="29" t="s">
        <v>65</v>
      </c>
      <c r="C22" s="30" t="s">
        <v>62</v>
      </c>
      <c r="D22" s="31" t="s">
        <v>5</v>
      </c>
      <c r="E22" s="50">
        <f>'2. Účetnictví'!F28</f>
        <v>0</v>
      </c>
      <c r="F22" s="12"/>
      <c r="G22" s="12"/>
    </row>
    <row r="23" spans="1:7" s="9" customFormat="1" ht="20.100000000000001" customHeight="1" x14ac:dyDescent="0.25">
      <c r="A23" s="32"/>
      <c r="B23" s="29" t="s">
        <v>30</v>
      </c>
      <c r="C23" s="30" t="s">
        <v>62</v>
      </c>
      <c r="D23" s="31" t="s">
        <v>239</v>
      </c>
      <c r="E23" s="50">
        <f>'2. Účetnictví'!F29</f>
        <v>0</v>
      </c>
      <c r="F23" s="578" t="s">
        <v>240</v>
      </c>
      <c r="G23" s="579"/>
    </row>
    <row r="24" spans="1:7" s="9" customFormat="1" ht="20.25" customHeight="1" x14ac:dyDescent="0.25">
      <c r="A24" s="32"/>
      <c r="B24" s="29" t="s">
        <v>72</v>
      </c>
      <c r="C24" s="30" t="s">
        <v>62</v>
      </c>
      <c r="D24" s="31" t="s">
        <v>239</v>
      </c>
      <c r="E24" s="50">
        <f>'2. Účetnictví'!F30</f>
        <v>0</v>
      </c>
      <c r="F24" s="578"/>
      <c r="G24" s="579"/>
    </row>
    <row r="25" spans="1:7" s="9" customFormat="1" ht="20.25" customHeight="1" thickBot="1" x14ac:dyDescent="0.3">
      <c r="A25" s="32"/>
      <c r="B25" s="549" t="s">
        <v>14</v>
      </c>
      <c r="C25" s="550"/>
      <c r="D25" s="551"/>
      <c r="E25" s="25" t="str">
        <f>IF((E22)&lt;0,"Ano",IF(E22&lt;((E23+E24)/2),"Ano","Ne"))</f>
        <v>Ne</v>
      </c>
      <c r="F25" s="12"/>
      <c r="G25" s="12"/>
    </row>
    <row r="26" spans="1:7" ht="8.25" customHeight="1" thickBot="1" x14ac:dyDescent="0.3">
      <c r="D26" s="21"/>
      <c r="E26" s="21"/>
    </row>
    <row r="27" spans="1:7" s="9" customFormat="1" ht="20.25" customHeight="1" x14ac:dyDescent="0.25">
      <c r="A27" s="5"/>
      <c r="B27" s="552" t="s">
        <v>318</v>
      </c>
      <c r="C27" s="547" t="s">
        <v>61</v>
      </c>
      <c r="D27" s="547" t="s">
        <v>64</v>
      </c>
      <c r="E27" s="28" t="str">
        <f>IF(OR(D18="kritéria B,C,D",D18="kritéria B,C,D,E"),"RELEVANTNÍ","NERELEVANTNÍ")</f>
        <v>NERELEVANTNÍ</v>
      </c>
      <c r="F27" s="13"/>
    </row>
    <row r="28" spans="1:7" s="9" customFormat="1" ht="20.25" customHeight="1" x14ac:dyDescent="0.25">
      <c r="A28" s="5"/>
      <c r="B28" s="553"/>
      <c r="C28" s="548"/>
      <c r="D28" s="548"/>
      <c r="E28" s="33" t="str">
        <f>IF($D$8&gt;1,$D$8,"")</f>
        <v/>
      </c>
      <c r="F28" s="13"/>
    </row>
    <row r="29" spans="1:7" s="9" customFormat="1" ht="17.25" customHeight="1" x14ac:dyDescent="0.25">
      <c r="A29" s="5"/>
      <c r="B29" s="29" t="s">
        <v>65</v>
      </c>
      <c r="C29" s="30" t="s">
        <v>62</v>
      </c>
      <c r="D29" s="31" t="s">
        <v>5</v>
      </c>
      <c r="E29" s="52">
        <f>'2. Účetnictví'!F35</f>
        <v>0</v>
      </c>
      <c r="F29" s="13"/>
    </row>
    <row r="30" spans="1:7" s="9" customFormat="1" ht="17.25" customHeight="1" x14ac:dyDescent="0.25">
      <c r="A30" s="5"/>
      <c r="B30" s="29" t="s">
        <v>16</v>
      </c>
      <c r="C30" s="30" t="s">
        <v>62</v>
      </c>
      <c r="D30" s="31" t="s">
        <v>8</v>
      </c>
      <c r="E30" s="52">
        <f>'2. Účetnictví'!F36</f>
        <v>0</v>
      </c>
      <c r="F30" s="13"/>
    </row>
    <row r="31" spans="1:7" s="9" customFormat="1" ht="17.25" customHeight="1" x14ac:dyDescent="0.25">
      <c r="A31" s="5"/>
      <c r="B31" s="38" t="s">
        <v>316</v>
      </c>
      <c r="C31" s="39" t="s">
        <v>229</v>
      </c>
      <c r="D31" s="41" t="s">
        <v>229</v>
      </c>
      <c r="E31" s="53">
        <f>'2. Účetnictví'!F37</f>
        <v>0</v>
      </c>
      <c r="F31" s="13"/>
    </row>
    <row r="32" spans="1:7" s="9" customFormat="1" ht="17.25" customHeight="1" thickBot="1" x14ac:dyDescent="0.3">
      <c r="A32" s="5"/>
      <c r="B32" s="477" t="s">
        <v>17</v>
      </c>
      <c r="C32" s="478"/>
      <c r="D32" s="478"/>
      <c r="E32" s="25" t="str">
        <f>IF(AND((E30)&gt;0,E29&gt;0),"Ne",(IF((ABS(E30))&gt;((E29-(E30))/2),"Ano","Ne")))</f>
        <v>Ne</v>
      </c>
      <c r="F32" s="13"/>
    </row>
    <row r="34" spans="2:7" s="9" customFormat="1" ht="20.25" customHeight="1" x14ac:dyDescent="0.25">
      <c r="B34" s="27" t="s">
        <v>102</v>
      </c>
      <c r="C34" s="430" t="s">
        <v>61</v>
      </c>
      <c r="D34" s="430"/>
      <c r="E34" s="28" t="s">
        <v>46</v>
      </c>
      <c r="F34" s="13"/>
      <c r="G34" s="12"/>
    </row>
    <row r="35" spans="2:7" s="9" customFormat="1" ht="17.25" customHeight="1" x14ac:dyDescent="0.25">
      <c r="B35" s="44" t="s">
        <v>323</v>
      </c>
      <c r="C35" s="474" t="s">
        <v>63</v>
      </c>
      <c r="D35" s="474"/>
      <c r="E35" s="54" t="str">
        <f>'2. Účetnictví'!F41</f>
        <v>Vyberte variantu</v>
      </c>
      <c r="F35" s="546" t="s">
        <v>325</v>
      </c>
      <c r="G35" s="546"/>
    </row>
    <row r="36" spans="2:7" s="9" customFormat="1" ht="17.25" customHeight="1" x14ac:dyDescent="0.25">
      <c r="B36" s="44" t="s">
        <v>324</v>
      </c>
      <c r="C36" s="474" t="s">
        <v>69</v>
      </c>
      <c r="D36" s="474"/>
      <c r="E36" s="54" t="str">
        <f>'2. Účetnictví'!F42</f>
        <v>Vyberte variantu</v>
      </c>
      <c r="F36" s="546"/>
      <c r="G36" s="546"/>
    </row>
    <row r="37" spans="2:7" s="9" customFormat="1" ht="17.25" customHeight="1" thickBot="1" x14ac:dyDescent="0.3">
      <c r="B37" s="475" t="s">
        <v>19</v>
      </c>
      <c r="C37" s="476"/>
      <c r="D37" s="476"/>
      <c r="E37" s="25" t="str">
        <f>IF(OR(E35="Ano",E36="Ano"),"Ano","Ne")</f>
        <v>Ne</v>
      </c>
      <c r="F37" s="43" t="s">
        <v>366</v>
      </c>
      <c r="G37" s="12"/>
    </row>
    <row r="38" spans="2:7" s="9" customFormat="1" ht="10.15" customHeight="1" thickBot="1" x14ac:dyDescent="0.3">
      <c r="B38" s="12"/>
      <c r="C38" s="8"/>
      <c r="E38" s="5"/>
      <c r="F38" s="13"/>
      <c r="G38" s="12"/>
    </row>
    <row r="39" spans="2:7" s="9" customFormat="1" ht="20.25" customHeight="1" x14ac:dyDescent="0.25">
      <c r="B39" s="27" t="s">
        <v>103</v>
      </c>
      <c r="C39" s="430" t="s">
        <v>61</v>
      </c>
      <c r="D39" s="430"/>
      <c r="E39" s="28" t="s">
        <v>46</v>
      </c>
      <c r="F39" s="13"/>
      <c r="G39" s="12"/>
    </row>
    <row r="40" spans="2:7" s="9" customFormat="1" ht="32.25" customHeight="1" x14ac:dyDescent="0.25">
      <c r="B40" s="44" t="s">
        <v>513</v>
      </c>
      <c r="C40" s="474" t="s">
        <v>69</v>
      </c>
      <c r="D40" s="474"/>
      <c r="E40" s="54" t="str">
        <f>'2. Účetnictví'!F46</f>
        <v>Vyberte variantu</v>
      </c>
      <c r="F40" s="13"/>
      <c r="G40" s="12"/>
    </row>
    <row r="41" spans="2:7" s="9" customFormat="1" ht="32.25" customHeight="1" x14ac:dyDescent="0.25">
      <c r="B41" s="44" t="s">
        <v>176</v>
      </c>
      <c r="C41" s="474" t="s">
        <v>69</v>
      </c>
      <c r="D41" s="474"/>
      <c r="E41" s="54" t="str">
        <f>'2. Účetnictví'!F47</f>
        <v>Vyberte variantu</v>
      </c>
      <c r="F41" s="13"/>
      <c r="G41" s="12"/>
    </row>
    <row r="42" spans="2:7" s="9" customFormat="1" ht="17.25" customHeight="1" thickBot="1" x14ac:dyDescent="0.3">
      <c r="B42" s="475" t="s">
        <v>20</v>
      </c>
      <c r="C42" s="476"/>
      <c r="D42" s="476"/>
      <c r="E42" s="25" t="str">
        <f>IF(OR(E40="Ano",E41="Ano"),"Ano","Ne")</f>
        <v>Ne</v>
      </c>
      <c r="F42" s="43" t="s">
        <v>366</v>
      </c>
      <c r="G42" s="12"/>
    </row>
    <row r="43" spans="2:7" s="9" customFormat="1" ht="10.15" customHeight="1" thickBot="1" x14ac:dyDescent="0.3">
      <c r="B43" s="12"/>
      <c r="C43" s="8"/>
      <c r="E43" s="5"/>
      <c r="F43" s="13"/>
      <c r="G43" s="12"/>
    </row>
    <row r="44" spans="2:7" s="9" customFormat="1" ht="20.25" customHeight="1" thickBot="1" x14ac:dyDescent="0.3">
      <c r="B44" s="481" t="s">
        <v>104</v>
      </c>
      <c r="C44" s="482"/>
      <c r="D44" s="483"/>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62</v>
      </c>
      <c r="D47" s="20" t="s">
        <v>5</v>
      </c>
      <c r="E47" s="51">
        <f>'2. Účetnictví'!F54</f>
        <v>0</v>
      </c>
      <c r="F47" s="52">
        <f>'2. Účetnictví'!G54</f>
        <v>0</v>
      </c>
      <c r="G47" s="8"/>
    </row>
    <row r="48" spans="2:7" s="9" customFormat="1" ht="17.25" customHeight="1" x14ac:dyDescent="0.25">
      <c r="B48" s="18" t="s">
        <v>99</v>
      </c>
      <c r="C48" s="19" t="s">
        <v>62</v>
      </c>
      <c r="D48" s="20" t="s">
        <v>66</v>
      </c>
      <c r="E48" s="51">
        <f>'2. Účetnictví'!F55</f>
        <v>0</v>
      </c>
      <c r="F48" s="52">
        <f>'2. Účetnictví'!G55</f>
        <v>0</v>
      </c>
      <c r="G48" s="8"/>
    </row>
    <row r="49" spans="2:6" s="9" customFormat="1" ht="17.25" customHeight="1" x14ac:dyDescent="0.25">
      <c r="B49" s="434" t="s">
        <v>88</v>
      </c>
      <c r="C49" s="435"/>
      <c r="D49" s="435"/>
      <c r="E49" s="6" t="str">
        <f>IF((E47)=0,"NR",(E48/E47))</f>
        <v>NR</v>
      </c>
      <c r="F49" s="7" t="str">
        <f>IF((F47)=0,"NR",(F48/F47))</f>
        <v>NR</v>
      </c>
    </row>
    <row r="50" spans="2:6" s="9" customFormat="1" ht="17.25" customHeight="1" thickBot="1" x14ac:dyDescent="0.3">
      <c r="B50" s="556" t="s">
        <v>22</v>
      </c>
      <c r="C50" s="557"/>
      <c r="D50" s="558"/>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67</v>
      </c>
      <c r="E53" s="51">
        <f>'2. Účetnictví'!F61</f>
        <v>0</v>
      </c>
      <c r="F53" s="52">
        <f>'2. Účetnictví'!G61</f>
        <v>0</v>
      </c>
    </row>
    <row r="54" spans="2:6" s="9" customFormat="1" ht="17.25" customHeight="1" x14ac:dyDescent="0.25">
      <c r="B54" s="18" t="s">
        <v>25</v>
      </c>
      <c r="C54" s="19" t="s">
        <v>50</v>
      </c>
      <c r="D54" s="20" t="s">
        <v>68</v>
      </c>
      <c r="E54" s="51">
        <f>'2. Účetnictví'!F62</f>
        <v>0</v>
      </c>
      <c r="F54" s="52">
        <f>'2. Účetnictví'!G62</f>
        <v>0</v>
      </c>
    </row>
    <row r="55" spans="2:6" s="9" customFormat="1" ht="17.25" customHeight="1" x14ac:dyDescent="0.25">
      <c r="B55" s="18" t="s">
        <v>27</v>
      </c>
      <c r="C55" s="19" t="s">
        <v>50</v>
      </c>
      <c r="D55" s="20" t="s">
        <v>37</v>
      </c>
      <c r="E55" s="51">
        <f>'2. Účetnictví'!F63</f>
        <v>0</v>
      </c>
      <c r="F55" s="52">
        <f>'2. Účetnictví'!G63</f>
        <v>0</v>
      </c>
    </row>
    <row r="56" spans="2:6" s="9" customFormat="1" ht="17.25" customHeight="1" x14ac:dyDescent="0.25">
      <c r="B56" s="434" t="s">
        <v>89</v>
      </c>
      <c r="C56" s="435"/>
      <c r="D56" s="435"/>
      <c r="E56" s="6" t="str">
        <f>IF(E54=0,"NR",(E53+E54+E55)/E54)</f>
        <v>NR</v>
      </c>
      <c r="F56" s="7" t="str">
        <f>IF(F54=0,"NR",(F53+F54+F55)/F54)</f>
        <v>NR</v>
      </c>
    </row>
    <row r="57" spans="2:6" s="9" customFormat="1" ht="17.25" customHeight="1" thickBot="1" x14ac:dyDescent="0.3">
      <c r="B57" s="475" t="s">
        <v>107</v>
      </c>
      <c r="C57" s="476"/>
      <c r="D57" s="476"/>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518" t="s">
        <v>29</v>
      </c>
      <c r="C59" s="519"/>
      <c r="D59" s="519"/>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92" t="s">
        <v>108</v>
      </c>
      <c r="C61" s="493"/>
      <c r="D61" s="494"/>
      <c r="E61" s="16" t="str">
        <f>IF(OR(E25="ANO",E32="Ano",E37="Ano",E42="Ano",E59="Ano"),"Ano","Ne")</f>
        <v>Ne</v>
      </c>
      <c r="F61" s="55"/>
    </row>
  </sheetData>
  <sheetProtection algorithmName="SHA-512" hashValue="SXplfF5kiWcmvqjUGd1FfmhblWJWPVyUgWYCZCaN151xJZDGyEhfmQCk8B1hOmhmd3M/IHTajSsgtAWtKfUu+A==" saltValue="CyiNWN8uhC6OOSTAwXdbPg==" spinCount="100000" sheet="1" objects="1" scenarios="1"/>
  <mergeCells count="49">
    <mergeCell ref="F35:G36"/>
    <mergeCell ref="B13:C13"/>
    <mergeCell ref="D13:F13"/>
    <mergeCell ref="B20:B21"/>
    <mergeCell ref="C20:C21"/>
    <mergeCell ref="D20:D21"/>
    <mergeCell ref="F23:G24"/>
    <mergeCell ref="B11:C11"/>
    <mergeCell ref="B37:D37"/>
    <mergeCell ref="C40:D40"/>
    <mergeCell ref="C34:D34"/>
    <mergeCell ref="C41:D41"/>
    <mergeCell ref="C39:D39"/>
    <mergeCell ref="D11:F11"/>
    <mergeCell ref="D12:F12"/>
    <mergeCell ref="B12:C12"/>
    <mergeCell ref="B14:C14"/>
    <mergeCell ref="D14:F14"/>
    <mergeCell ref="B15:C15"/>
    <mergeCell ref="D15:F15"/>
    <mergeCell ref="B27:B28"/>
    <mergeCell ref="C27:C28"/>
    <mergeCell ref="D27:D28"/>
    <mergeCell ref="B4:C4"/>
    <mergeCell ref="B5:C5"/>
    <mergeCell ref="B6:C6"/>
    <mergeCell ref="B7:C7"/>
    <mergeCell ref="B10:C10"/>
    <mergeCell ref="B8:C8"/>
    <mergeCell ref="B59:D59"/>
    <mergeCell ref="B61:D61"/>
    <mergeCell ref="D18:E18"/>
    <mergeCell ref="B32:D32"/>
    <mergeCell ref="C35:D35"/>
    <mergeCell ref="C36:D36"/>
    <mergeCell ref="B57:D57"/>
    <mergeCell ref="B18:C18"/>
    <mergeCell ref="B49:D49"/>
    <mergeCell ref="B42:D42"/>
    <mergeCell ref="B50:D50"/>
    <mergeCell ref="B56:D56"/>
    <mergeCell ref="B44:D44"/>
    <mergeCell ref="B25:D25"/>
    <mergeCell ref="D10:F10"/>
    <mergeCell ref="D4:F4"/>
    <mergeCell ref="D5:F5"/>
    <mergeCell ref="D6:F6"/>
    <mergeCell ref="D7:F7"/>
    <mergeCell ref="D8:F8"/>
  </mergeCells>
  <conditionalFormatting sqref="A1:A33">
    <cfRule type="beginsWith" dxfId="124" priority="55" operator="beginsWith" text="RE">
      <formula>LEFT(A1,LEN("RE"))="RE"</formula>
    </cfRule>
    <cfRule type="containsText" dxfId="123" priority="56" operator="containsText" text="&quot;RELEVANTNÍ&quot;">
      <formula>NOT(ISERROR(SEARCH("""RELEVANTNÍ""",A1)))</formula>
    </cfRule>
  </conditionalFormatting>
  <conditionalFormatting sqref="A35:A38">
    <cfRule type="beginsWith" dxfId="122" priority="73" operator="beginsWith" text="RE">
      <formula>LEFT(A35,LEN("RE"))="RE"</formula>
    </cfRule>
    <cfRule type="containsText" dxfId="121" priority="74" operator="containsText" text="&quot;RELEVANTNÍ&quot;">
      <formula>NOT(ISERROR(SEARCH("""RELEVANTNÍ""",A35)))</formula>
    </cfRule>
  </conditionalFormatting>
  <conditionalFormatting sqref="A40:A1048576">
    <cfRule type="beginsWith" dxfId="120" priority="34" operator="beginsWith" text="RE">
      <formula>LEFT(A40,LEN("RE"))="RE"</formula>
    </cfRule>
    <cfRule type="containsText" dxfId="119" priority="35" operator="containsText" text="&quot;RELEVANTNÍ&quot;">
      <formula>NOT(ISERROR(SEARCH("""RELEVANTNÍ""",A40)))</formula>
    </cfRule>
  </conditionalFormatting>
  <conditionalFormatting sqref="E18">
    <cfRule type="beginsWith" dxfId="118" priority="66" operator="beginsWith" text="RE">
      <formula>LEFT(E18,LEN("RE"))="RE"</formula>
    </cfRule>
  </conditionalFormatting>
  <conditionalFormatting sqref="E20:E21">
    <cfRule type="beginsWith" dxfId="117" priority="10" operator="beginsWith" text="RE">
      <formula>LEFT(E20,LEN("RE"))="RE"</formula>
    </cfRule>
  </conditionalFormatting>
  <conditionalFormatting sqref="E22:E24">
    <cfRule type="expression" dxfId="116" priority="11">
      <formula>$E$20="NERELEVANTNÍ"</formula>
    </cfRule>
  </conditionalFormatting>
  <conditionalFormatting sqref="E23:E25">
    <cfRule type="beginsWith" dxfId="115" priority="12" operator="beginsWith" text="RE">
      <formula>LEFT(E23,LEN("RE"))="RE"</formula>
    </cfRule>
  </conditionalFormatting>
  <conditionalFormatting sqref="E25">
    <cfRule type="containsText" dxfId="114" priority="13" operator="containsText" text="Ne">
      <formula>NOT(ISERROR(SEARCH("Ne",E25)))</formula>
    </cfRule>
    <cfRule type="containsText" dxfId="113" priority="14" operator="containsText" text="Ano">
      <formula>NOT(ISERROR(SEARCH("Ano",E25)))</formula>
    </cfRule>
  </conditionalFormatting>
  <conditionalFormatting sqref="E28">
    <cfRule type="beginsWith" dxfId="112" priority="19" operator="beginsWith" text="RE">
      <formula>LEFT(E28,LEN("RE"))="RE"</formula>
    </cfRule>
  </conditionalFormatting>
  <conditionalFormatting sqref="E29:E31">
    <cfRule type="expression" dxfId="111" priority="46">
      <formula>$E$27="NERELEVANTNÍ"</formula>
    </cfRule>
    <cfRule type="beginsWith" dxfId="110" priority="47" operator="beginsWith" text="RE">
      <formula>LEFT(E29,LEN("RE"))="RE"</formula>
    </cfRule>
  </conditionalFormatting>
  <conditionalFormatting sqref="E32 E37 E42 E59 E61">
    <cfRule type="containsText" dxfId="109" priority="78" operator="containsText" text="Ano">
      <formula>NOT(ISERROR(SEARCH("Ano",E32)))</formula>
    </cfRule>
  </conditionalFormatting>
  <conditionalFormatting sqref="E32 E42 E37 E59 E61">
    <cfRule type="containsText" dxfId="108" priority="77" operator="containsText" text="Ne">
      <formula>NOT(ISERROR(SEARCH("Ne",E32)))</formula>
    </cfRule>
  </conditionalFormatting>
  <conditionalFormatting sqref="E1:F3 E9:F9 E17:F17 B19:E19 F19:F22 F25 E26:F27 F28:F31 E32:F34 E42">
    <cfRule type="beginsWith" dxfId="107" priority="72" operator="beginsWith" text="RE">
      <formula>LEFT(B1,LEN("RE"))="RE"</formula>
    </cfRule>
  </conditionalFormatting>
  <conditionalFormatting sqref="E14:F15">
    <cfRule type="beginsWith" dxfId="106" priority="28" operator="beginsWith" text="RE">
      <formula>LEFT(E14,LEN("RE"))="RE"</formula>
    </cfRule>
  </conditionalFormatting>
  <conditionalFormatting sqref="E37:F39">
    <cfRule type="beginsWith" dxfId="105" priority="4" operator="beginsWith" text="RE">
      <formula>LEFT(E37,LEN("RE"))="RE"</formula>
    </cfRule>
  </conditionalFormatting>
  <conditionalFormatting sqref="E43:F46">
    <cfRule type="beginsWith" dxfId="104" priority="18" operator="beginsWith" text="RE">
      <formula>LEFT(E43,LEN("RE"))="RE"</formula>
    </cfRule>
  </conditionalFormatting>
  <conditionalFormatting sqref="E47:F48">
    <cfRule type="expression" dxfId="103" priority="40">
      <formula>$E$44="NERELEVANTNÍ"</formula>
    </cfRule>
  </conditionalFormatting>
  <conditionalFormatting sqref="E47:F49">
    <cfRule type="beginsWith" dxfId="102" priority="41" operator="beginsWith" text="RE">
      <formula>LEFT(E47,LEN("RE"))="RE"</formula>
    </cfRule>
  </conditionalFormatting>
  <conditionalFormatting sqref="E50:F52">
    <cfRule type="beginsWith" dxfId="101" priority="17" operator="beginsWith" text="RE">
      <formula>LEFT(E50,LEN("RE"))="RE"</formula>
    </cfRule>
  </conditionalFormatting>
  <conditionalFormatting sqref="E53:F55">
    <cfRule type="expression" dxfId="100" priority="36">
      <formula>$E$44="NERELEVANTNÍ"</formula>
    </cfRule>
  </conditionalFormatting>
  <conditionalFormatting sqref="E53:F58">
    <cfRule type="beginsWith" dxfId="99" priority="37" operator="beginsWith" text="RE">
      <formula>LEFT(E53,LEN("RE"))="RE"</formula>
    </cfRule>
  </conditionalFormatting>
  <conditionalFormatting sqref="E59:F1048576">
    <cfRule type="beginsWith" dxfId="98" priority="1" operator="beginsWith" text="RE">
      <formula>LEFT(E59,LEN("RE"))="RE"</formula>
    </cfRule>
  </conditionalFormatting>
  <conditionalFormatting sqref="F35">
    <cfRule type="beginsWith" dxfId="97" priority="8" operator="beginsWith" text="RE">
      <formula>LEFT(F35,LEN("RE"))="RE"</formula>
    </cfRule>
  </conditionalFormatting>
  <conditionalFormatting sqref="F40:F42">
    <cfRule type="beginsWith" dxfId="96" priority="3" operator="beginsWith" text="RE">
      <formula>LEFT(F40,LEN("RE"))="RE"</formula>
    </cfRule>
  </conditionalFormatting>
  <pageMargins left="0.39370078740157483" right="0.39370078740157483" top="0.39370078740157483" bottom="0.39370078740157483" header="0.31496062992125984" footer="0.31496062992125984"/>
  <pageSetup paperSize="8" scale="89" orientation="portrait" r:id="rId1"/>
  <rowBreaks count="1" manualBreakCount="1">
    <brk id="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'typy žadatelů'!$B$78:$B$80</xm:f>
          </x14:formula1>
          <xm:sqref>D15:F15</xm:sqref>
        </x14:dataValidation>
        <x14:dataValidation type="list" allowBlank="1" showInputMessage="1" showErrorMessage="1" xr:uid="{00000000-0002-0000-0C00-000001000000}">
          <x14:formula1>
            <xm:f>'typy žadatelů'!$D$29:$D$60</xm:f>
          </x14:formula1>
          <xm:sqref>D14:F14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
    <tabColor theme="4" tint="-0.249977111117893"/>
    <pageSetUpPr fitToPage="1"/>
  </sheetPr>
  <dimension ref="A1:AM301"/>
  <sheetViews>
    <sheetView showGridLines="0" zoomScale="90" zoomScaleNormal="90" workbookViewId="0">
      <selection activeCell="E11" sqref="E11:G11"/>
    </sheetView>
  </sheetViews>
  <sheetFormatPr defaultColWidth="11" defaultRowHeight="15.75" x14ac:dyDescent="0.25"/>
  <cols>
    <col min="1" max="1" width="5.75" style="21" customWidth="1"/>
    <col min="2" max="2" width="59.875" style="13" customWidth="1"/>
    <col min="3" max="3" width="9.375" style="13" customWidth="1"/>
    <col min="4" max="4" width="11.625" style="5" customWidth="1"/>
    <col min="5" max="5" width="14.375" style="5" customWidth="1"/>
    <col min="6" max="6" width="14.375" style="13" customWidth="1"/>
    <col min="7" max="7" width="14.375" style="12" customWidth="1"/>
    <col min="8" max="11" width="14.375" style="9" customWidth="1"/>
    <col min="12" max="13" width="14.375" style="5" customWidth="1"/>
    <col min="14" max="14" width="5.75" style="5" customWidth="1"/>
    <col min="15" max="15" width="20" hidden="1" customWidth="1"/>
    <col min="16" max="16" width="14.75" hidden="1" customWidth="1"/>
    <col min="17" max="17" width="25.25" hidden="1" customWidth="1"/>
    <col min="18" max="18" width="21" hidden="1" customWidth="1"/>
    <col min="19" max="19" width="38.875" style="21" hidden="1" customWidth="1"/>
    <col min="20" max="20" width="57.75" hidden="1" customWidth="1"/>
    <col min="21" max="21" width="19.25" style="5" hidden="1" customWidth="1"/>
    <col min="22" max="22" width="12" style="5" hidden="1" customWidth="1"/>
    <col min="23" max="23" width="26.625" style="5" hidden="1" customWidth="1"/>
    <col min="24" max="24" width="17.625" style="5" hidden="1" customWidth="1"/>
    <col min="25" max="25" width="17.375" style="5" hidden="1" customWidth="1"/>
    <col min="26" max="31" width="12" style="5" hidden="1" customWidth="1"/>
    <col min="32" max="32" width="13.125" style="5" hidden="1" customWidth="1"/>
    <col min="33" max="33" width="13.25" style="5" hidden="1" customWidth="1"/>
    <col min="34" max="35" width="12" style="5" hidden="1" customWidth="1"/>
    <col min="36" max="36" width="8.625" style="5" hidden="1" customWidth="1"/>
    <col min="37" max="37" width="21.875" style="5" hidden="1" customWidth="1"/>
    <col min="38" max="38" width="12.5" style="5" customWidth="1"/>
    <col min="39" max="39" width="21.75" style="5" customWidth="1"/>
    <col min="40" max="41" width="11" style="5"/>
    <col min="42" max="42" width="11.75" style="5" customWidth="1"/>
    <col min="43" max="43" width="21.625" style="5" customWidth="1"/>
    <col min="44" max="16384" width="11" style="5"/>
  </cols>
  <sheetData>
    <row r="1" spans="1:20" ht="20.25" customHeight="1" x14ac:dyDescent="0.25"/>
    <row r="2" spans="1:20" ht="24.75" customHeight="1" x14ac:dyDescent="0.25">
      <c r="B2" s="143" t="s">
        <v>423</v>
      </c>
      <c r="C2" s="144"/>
    </row>
    <row r="3" spans="1:20" ht="28.9" customHeight="1" x14ac:dyDescent="0.25">
      <c r="B3" s="43"/>
      <c r="C3" s="47"/>
    </row>
    <row r="4" spans="1:20" ht="7.15" customHeight="1" thickBot="1" x14ac:dyDescent="0.3"/>
    <row r="5" spans="1:20" ht="25.5" customHeight="1" x14ac:dyDescent="0.25">
      <c r="A5" s="32" t="s">
        <v>74</v>
      </c>
      <c r="B5" s="677" t="s">
        <v>80</v>
      </c>
      <c r="C5" s="678"/>
      <c r="D5" s="678"/>
      <c r="E5" s="667" t="str">
        <f>Výpočty!L4</f>
        <v>Nejprve vyplňte předchozí list za žadatele.</v>
      </c>
      <c r="F5" s="667"/>
      <c r="G5" s="668"/>
      <c r="H5" s="43" t="str">
        <f>IF(E5="Duplicitní zápis NÁZVU na předchozích listech!","Opravte!","")</f>
        <v/>
      </c>
    </row>
    <row r="6" spans="1:20" hidden="1" x14ac:dyDescent="0.25">
      <c r="B6" s="451" t="s">
        <v>0</v>
      </c>
      <c r="C6" s="440"/>
      <c r="D6" s="669"/>
      <c r="E6" s="669"/>
      <c r="F6" s="669"/>
      <c r="G6" s="145"/>
    </row>
    <row r="7" spans="1:20" ht="25.5" customHeight="1" x14ac:dyDescent="0.25">
      <c r="B7" s="451" t="s">
        <v>1</v>
      </c>
      <c r="C7" s="440"/>
      <c r="D7" s="440"/>
      <c r="E7" s="670" t="str">
        <f>Výpočty!L10</f>
        <v>Nejprve vyplňte předchozí list za žadatele.</v>
      </c>
      <c r="F7" s="670"/>
      <c r="G7" s="671"/>
      <c r="H7" s="43" t="str">
        <f>IF(E7="Duplicitní zápis IČ na předchozích listech!","Opravte!","")</f>
        <v/>
      </c>
    </row>
    <row r="8" spans="1:20" ht="27" hidden="1" customHeight="1" x14ac:dyDescent="0.25">
      <c r="B8" s="682" t="s">
        <v>494</v>
      </c>
      <c r="C8" s="683"/>
      <c r="D8" s="684"/>
      <c r="E8" s="670" t="str">
        <f>Výpočty!L22</f>
        <v>Nejprve vyplňte předchozí list za žadatele.</v>
      </c>
      <c r="F8" s="670"/>
      <c r="G8" s="671"/>
    </row>
    <row r="9" spans="1:20" ht="25.5" customHeight="1" thickBot="1" x14ac:dyDescent="0.3">
      <c r="B9" s="488" t="s">
        <v>247</v>
      </c>
      <c r="C9" s="489"/>
      <c r="D9" s="489"/>
      <c r="E9" s="675" t="str">
        <f>Výpočty!L16</f>
        <v>Nejprve vyplňte předchozí list za žadatele.</v>
      </c>
      <c r="F9" s="675"/>
      <c r="G9" s="676"/>
      <c r="H9" s="43" t="str">
        <f>IF(E9="Duplicitní zápis ROKU na předchozích listech!","Opravte!","")</f>
        <v/>
      </c>
    </row>
    <row r="10" spans="1:20" ht="12.6" customHeight="1" thickBot="1" x14ac:dyDescent="0.3">
      <c r="B10" s="702"/>
      <c r="C10" s="702"/>
      <c r="D10" s="702"/>
      <c r="E10" s="702"/>
      <c r="F10" s="702"/>
      <c r="G10" s="702"/>
    </row>
    <row r="11" spans="1:20" ht="28.5" customHeight="1" x14ac:dyDescent="0.25">
      <c r="A11" s="32" t="s">
        <v>75</v>
      </c>
      <c r="B11" s="679" t="s">
        <v>369</v>
      </c>
      <c r="C11" s="680"/>
      <c r="D11" s="681"/>
      <c r="E11" s="672" t="s">
        <v>71</v>
      </c>
      <c r="F11" s="673"/>
      <c r="G11" s="674"/>
      <c r="H11" s="146" t="s">
        <v>488</v>
      </c>
      <c r="T11" s="72" t="s">
        <v>460</v>
      </c>
    </row>
    <row r="12" spans="1:20" ht="31.15" hidden="1" customHeight="1" x14ac:dyDescent="0.25">
      <c r="B12" s="147" t="s">
        <v>253</v>
      </c>
      <c r="C12" s="148"/>
      <c r="D12" s="149"/>
      <c r="E12" s="443" t="str">
        <f>IF(E11="ANO","Ano","Ne")</f>
        <v>Ne</v>
      </c>
      <c r="F12" s="443"/>
      <c r="G12" s="444"/>
      <c r="T12" s="70"/>
    </row>
    <row r="13" spans="1:20" s="9" customFormat="1" ht="38.25" customHeight="1" x14ac:dyDescent="0.25">
      <c r="A13" s="21"/>
      <c r="B13" s="486" t="s">
        <v>373</v>
      </c>
      <c r="C13" s="487"/>
      <c r="D13" s="487"/>
      <c r="E13" s="443" t="s">
        <v>71</v>
      </c>
      <c r="F13" s="443"/>
      <c r="G13" s="444"/>
      <c r="L13" s="5"/>
      <c r="M13" s="5"/>
      <c r="O13"/>
      <c r="P13"/>
      <c r="Q13"/>
      <c r="R13"/>
      <c r="S13" s="15"/>
      <c r="T13" s="150">
        <f>IF(AND(E11="Ano",E13="Ano"),1,0)</f>
        <v>0</v>
      </c>
    </row>
    <row r="14" spans="1:20" s="9" customFormat="1" ht="43.9" hidden="1" customHeight="1" x14ac:dyDescent="0.25">
      <c r="A14" s="21"/>
      <c r="B14" s="451" t="s">
        <v>238</v>
      </c>
      <c r="C14" s="440"/>
      <c r="D14" s="440"/>
      <c r="E14" s="443" t="s">
        <v>2</v>
      </c>
      <c r="F14" s="443"/>
      <c r="G14" s="444"/>
      <c r="L14" s="5"/>
      <c r="M14" s="5"/>
      <c r="O14"/>
      <c r="P14"/>
      <c r="Q14"/>
      <c r="R14"/>
      <c r="S14" s="15"/>
    </row>
    <row r="15" spans="1:20" s="9" customFormat="1" ht="43.9" hidden="1" customHeight="1" x14ac:dyDescent="0.25">
      <c r="A15" s="21"/>
      <c r="B15" s="451" t="s">
        <v>237</v>
      </c>
      <c r="C15" s="440"/>
      <c r="D15" s="440"/>
      <c r="E15" s="443" t="s">
        <v>2</v>
      </c>
      <c r="F15" s="443"/>
      <c r="G15" s="444"/>
      <c r="L15" s="5"/>
      <c r="M15" s="5"/>
      <c r="O15"/>
      <c r="P15"/>
      <c r="Q15"/>
      <c r="R15"/>
      <c r="S15" s="15"/>
    </row>
    <row r="16" spans="1:20" s="9" customFormat="1" ht="45.6" hidden="1" customHeight="1" thickBot="1" x14ac:dyDescent="0.3">
      <c r="A16" s="21"/>
      <c r="B16" s="486" t="s">
        <v>178</v>
      </c>
      <c r="C16" s="487"/>
      <c r="D16" s="151"/>
      <c r="E16" s="443" t="s">
        <v>71</v>
      </c>
      <c r="F16" s="443"/>
      <c r="G16" s="444"/>
      <c r="L16" s="5"/>
      <c r="M16" s="5"/>
      <c r="O16"/>
      <c r="P16"/>
      <c r="Q16"/>
      <c r="R16"/>
      <c r="S16" s="15"/>
    </row>
    <row r="17" spans="1:39" s="9" customFormat="1" ht="27.75" customHeight="1" thickBot="1" x14ac:dyDescent="0.3">
      <c r="A17" s="21"/>
      <c r="B17" s="488" t="s">
        <v>345</v>
      </c>
      <c r="C17" s="489"/>
      <c r="D17" s="489"/>
      <c r="E17" s="460" t="s">
        <v>71</v>
      </c>
      <c r="F17" s="460"/>
      <c r="G17" s="461"/>
      <c r="L17" s="5"/>
      <c r="M17" s="5"/>
      <c r="N17" s="5"/>
      <c r="O17"/>
      <c r="P17"/>
      <c r="Q17"/>
      <c r="R17"/>
      <c r="S17" s="21"/>
      <c r="T17" s="152" t="s">
        <v>458</v>
      </c>
    </row>
    <row r="18" spans="1:39" s="9" customFormat="1" ht="34.5" customHeight="1" thickBot="1" x14ac:dyDescent="0.3">
      <c r="A18" s="21"/>
      <c r="B18" s="751"/>
      <c r="C18" s="751"/>
      <c r="D18" s="751"/>
      <c r="E18" s="751"/>
      <c r="F18" s="751"/>
      <c r="G18" s="751"/>
      <c r="H18" s="43"/>
      <c r="L18" s="5"/>
      <c r="M18" s="5"/>
      <c r="N18" s="5"/>
      <c r="O18"/>
      <c r="P18"/>
      <c r="Q18"/>
      <c r="R18"/>
      <c r="S18" s="21"/>
      <c r="T18" s="153" t="s">
        <v>515</v>
      </c>
    </row>
    <row r="19" spans="1:39" s="9" customFormat="1" ht="24" customHeight="1" x14ac:dyDescent="0.25">
      <c r="A19" s="21"/>
      <c r="B19" s="706" t="s">
        <v>416</v>
      </c>
      <c r="C19" s="707"/>
      <c r="D19" s="707"/>
      <c r="E19" s="707"/>
      <c r="F19" s="707"/>
      <c r="G19" s="708"/>
      <c r="H19" s="154"/>
      <c r="I19" s="763" t="s">
        <v>516</v>
      </c>
      <c r="J19" s="764"/>
      <c r="K19" s="764"/>
      <c r="L19" s="764"/>
      <c r="M19" s="765"/>
      <c r="N19" s="5"/>
      <c r="O19"/>
      <c r="P19"/>
      <c r="Q19"/>
      <c r="R19"/>
      <c r="S19" s="21"/>
      <c r="T19" s="153" t="s">
        <v>466</v>
      </c>
    </row>
    <row r="20" spans="1:39" s="9" customFormat="1" ht="63.75" customHeight="1" x14ac:dyDescent="0.25">
      <c r="A20" s="21"/>
      <c r="B20" s="703" t="str">
        <f>IF(AND(E11="Ano",E13="Ano"),T19,T18)</f>
        <v>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v>
      </c>
      <c r="C20" s="704"/>
      <c r="D20" s="704"/>
      <c r="E20" s="704"/>
      <c r="F20" s="704"/>
      <c r="G20" s="705"/>
      <c r="H20" s="154"/>
      <c r="I20" s="766"/>
      <c r="J20" s="767"/>
      <c r="K20" s="767"/>
      <c r="L20" s="767"/>
      <c r="M20" s="768"/>
      <c r="N20" s="5"/>
      <c r="O20"/>
      <c r="P20"/>
      <c r="Q20"/>
      <c r="R20"/>
      <c r="S20" s="21"/>
      <c r="T20" s="152" t="s">
        <v>459</v>
      </c>
    </row>
    <row r="21" spans="1:39" s="9" customFormat="1" ht="23.25" customHeight="1" x14ac:dyDescent="0.25">
      <c r="A21" s="21"/>
      <c r="B21" s="709" t="s">
        <v>421</v>
      </c>
      <c r="C21" s="710"/>
      <c r="D21" s="710"/>
      <c r="E21" s="710"/>
      <c r="F21" s="710"/>
      <c r="G21" s="711"/>
      <c r="H21" s="43"/>
      <c r="I21" s="766"/>
      <c r="J21" s="767"/>
      <c r="K21" s="767"/>
      <c r="L21" s="767"/>
      <c r="M21" s="768"/>
      <c r="N21" s="5"/>
      <c r="O21"/>
      <c r="P21"/>
      <c r="Q21"/>
      <c r="R21"/>
      <c r="S21" s="21"/>
      <c r="T21" s="153" t="s">
        <v>424</v>
      </c>
      <c r="U21" s="150" t="s">
        <v>426</v>
      </c>
      <c r="V21" s="150" t="s">
        <v>422</v>
      </c>
      <c r="W21" s="150"/>
    </row>
    <row r="22" spans="1:39" s="9" customFormat="1" ht="18" customHeight="1" x14ac:dyDescent="0.25">
      <c r="A22" s="21"/>
      <c r="B22" s="703" t="str">
        <f>IF(AND(E11="Ano",E13="Ano"),"Do níže zobrazených bílých polí vyplňte pouze názvy podniků a datumy vzniku. Rozdělení do tabulek (A, B, A/B) není zásadní!","Do krytérií (část III.) se vpisují údaje za celou skupinu podniků následujícím způsobem:")</f>
        <v>Do krytérií (část III.) se vpisují údaje za celou skupinu podniků následujícím způsobem:</v>
      </c>
      <c r="C22" s="704"/>
      <c r="D22" s="704"/>
      <c r="E22" s="704"/>
      <c r="F22" s="704"/>
      <c r="G22" s="705"/>
      <c r="H22" s="154"/>
      <c r="I22" s="766"/>
      <c r="J22" s="767"/>
      <c r="K22" s="767"/>
      <c r="L22" s="767"/>
      <c r="M22" s="768"/>
      <c r="N22" s="5"/>
      <c r="O22"/>
      <c r="P22"/>
      <c r="Q22"/>
      <c r="R22"/>
      <c r="S22" s="21"/>
      <c r="T22" s="155"/>
    </row>
    <row r="23" spans="1:39" s="9" customFormat="1" ht="32.25" customHeight="1" x14ac:dyDescent="0.25">
      <c r="A23" s="21"/>
      <c r="B23" s="703" t="str">
        <f>IF(AND(E11="Ano",E13="Ano"),"Příklad: Alfa s.r.o., vznik 1.8.2023.","1) Na první místo (do jedné z tabulek, podle typu právní formy) vložte vždy název žadatele a doplňte patřičná data – má-li žadatel údaje z konsolidované účetní závěrky s dalšími podniky, vložte rovnou data z konsolidované účetní závěrky,")</f>
        <v>1) Na první místo (do jedné z tabulek, podle typu právní formy) vložte vždy název žadatele a doplňte patřičná data – má-li žadatel údaje z konsolidované účetní závěrky s dalšími podniky, vložte rovnou data z konsolidované účetní závěrky,</v>
      </c>
      <c r="C23" s="704"/>
      <c r="D23" s="704"/>
      <c r="E23" s="704"/>
      <c r="F23" s="704"/>
      <c r="G23" s="705"/>
      <c r="I23" s="766"/>
      <c r="J23" s="767"/>
      <c r="K23" s="767"/>
      <c r="L23" s="767"/>
      <c r="M23" s="768"/>
      <c r="N23" s="5"/>
      <c r="O23"/>
      <c r="P23"/>
      <c r="Q23"/>
      <c r="R23"/>
      <c r="S23" s="21"/>
      <c r="T23" s="155"/>
    </row>
    <row r="24" spans="1:39" s="9" customFormat="1" ht="16.5" customHeight="1" x14ac:dyDescent="0.25">
      <c r="A24" s="21"/>
      <c r="B24" s="703" t="str">
        <f>IF(AND(E11="Ano",E13="Ano"),"","2) Na další místa v pořadí uveďte údaje za jednotlivé podniky patřící do skupiny. Podniky musí být rozděleny podle typu právní formy.")</f>
        <v>2) Na další místa v pořadí uveďte údaje za jednotlivé podniky patřící do skupiny. Podniky musí být rozděleny podle typu právní formy.</v>
      </c>
      <c r="C24" s="704"/>
      <c r="D24" s="704"/>
      <c r="E24" s="704"/>
      <c r="F24" s="704"/>
      <c r="G24" s="705"/>
      <c r="I24" s="766"/>
      <c r="J24" s="767"/>
      <c r="K24" s="767"/>
      <c r="L24" s="767"/>
      <c r="M24" s="768"/>
      <c r="N24" s="5"/>
      <c r="O24"/>
      <c r="P24"/>
      <c r="Q24"/>
      <c r="R24"/>
      <c r="S24" s="21"/>
      <c r="T24" s="155"/>
    </row>
    <row r="25" spans="1:39" s="9" customFormat="1" ht="5.25" customHeight="1" thickBot="1" x14ac:dyDescent="0.3">
      <c r="A25" s="21"/>
      <c r="B25" s="712"/>
      <c r="C25" s="713"/>
      <c r="D25" s="713"/>
      <c r="E25" s="713"/>
      <c r="F25" s="713"/>
      <c r="G25" s="714"/>
      <c r="I25" s="769"/>
      <c r="J25" s="770"/>
      <c r="K25" s="770"/>
      <c r="L25" s="770"/>
      <c r="M25" s="771"/>
      <c r="N25" s="5"/>
      <c r="O25"/>
      <c r="P25"/>
      <c r="Q25"/>
      <c r="R25"/>
      <c r="S25" s="21"/>
      <c r="T25" s="155"/>
    </row>
    <row r="26" spans="1:39" s="9" customFormat="1" ht="33.75" customHeight="1" x14ac:dyDescent="0.25">
      <c r="A26" s="21"/>
      <c r="B26" s="156"/>
      <c r="C26" s="155"/>
      <c r="D26" s="155"/>
      <c r="E26" s="155"/>
      <c r="F26" s="155"/>
      <c r="G26" s="12"/>
      <c r="L26" s="5"/>
      <c r="M26" s="5"/>
      <c r="N26" s="5"/>
      <c r="O26"/>
      <c r="P26"/>
      <c r="Q26"/>
      <c r="R26"/>
      <c r="S26" s="21"/>
      <c r="T26" s="155"/>
    </row>
    <row r="27" spans="1:39" s="9" customFormat="1" ht="27" customHeight="1" x14ac:dyDescent="0.25">
      <c r="A27" s="21"/>
      <c r="B27" s="157" t="s">
        <v>496</v>
      </c>
      <c r="C27" s="13"/>
      <c r="D27" s="158"/>
      <c r="E27" s="156"/>
      <c r="F27" s="155"/>
      <c r="L27" s="5"/>
      <c r="M27" s="5"/>
      <c r="N27" s="5"/>
      <c r="O27"/>
      <c r="P27"/>
      <c r="Q27"/>
      <c r="R27"/>
      <c r="S27" s="21"/>
      <c r="T27" s="152" t="s">
        <v>428</v>
      </c>
    </row>
    <row r="28" spans="1:39" s="9" customFormat="1" ht="27.75" customHeight="1" thickBot="1" x14ac:dyDescent="0.3">
      <c r="A28" s="166"/>
      <c r="B28" s="160"/>
      <c r="C28" s="160"/>
      <c r="D28" s="161"/>
      <c r="E28" s="161"/>
      <c r="F28" s="160"/>
      <c r="G28" s="162"/>
      <c r="H28" s="163"/>
      <c r="I28" s="163"/>
      <c r="J28" s="163"/>
      <c r="K28" s="163"/>
      <c r="L28" s="163"/>
      <c r="M28" s="163"/>
      <c r="N28" s="163"/>
      <c r="O28"/>
      <c r="P28"/>
      <c r="Q28"/>
      <c r="R28"/>
      <c r="S28" s="164"/>
      <c r="T28" s="165" t="str">
        <f>Výpočty!B61</f>
        <v>Chyba v části I.</v>
      </c>
    </row>
    <row r="29" spans="1:39" ht="31.15" customHeight="1" x14ac:dyDescent="0.25">
      <c r="A29" s="166" t="s">
        <v>417</v>
      </c>
      <c r="B29" s="695" t="s">
        <v>370</v>
      </c>
      <c r="C29" s="697" t="str">
        <f>IF(AND(E11="Ano",E13="Ano"),"","Podniky, které vedou účetnictví, s omezeným ručením společníků, které zároveň mají základní kapitál nebo minimální kapitálový požadavek (typicky s.r.o.)")</f>
        <v>Podniky, které vedou účetnictví, s omezeným ručením společníků, které zároveň mají základní kapitál nebo minimální kapitálový požadavek (typicky s.r.o.)</v>
      </c>
      <c r="D29" s="697"/>
      <c r="E29" s="697"/>
      <c r="F29" s="697"/>
      <c r="G29" s="697"/>
      <c r="H29" s="697"/>
      <c r="I29" s="697"/>
      <c r="J29" s="697"/>
      <c r="K29" s="697"/>
      <c r="L29" s="697"/>
      <c r="M29" s="698"/>
      <c r="N29" s="161"/>
      <c r="S29" s="164"/>
      <c r="T29" s="152" t="s">
        <v>429</v>
      </c>
    </row>
    <row r="30" spans="1:39" ht="31.15" customHeight="1" thickBot="1" x14ac:dyDescent="0.3">
      <c r="A30" s="390"/>
      <c r="B30" s="696"/>
      <c r="C30" s="699"/>
      <c r="D30" s="699"/>
      <c r="E30" s="699"/>
      <c r="F30" s="699"/>
      <c r="G30" s="699"/>
      <c r="H30" s="699"/>
      <c r="I30" s="699"/>
      <c r="J30" s="699"/>
      <c r="K30" s="699"/>
      <c r="L30" s="699"/>
      <c r="M30" s="700"/>
      <c r="N30" s="161"/>
      <c r="S30" s="164"/>
      <c r="T30" s="165" t="str">
        <f>Výpočty!B62</f>
        <v>Chyba v části I.</v>
      </c>
      <c r="AM30" s="167" t="s">
        <v>425</v>
      </c>
    </row>
    <row r="31" spans="1:39" s="9" customFormat="1" ht="20.25" customHeight="1" x14ac:dyDescent="0.25">
      <c r="A31" s="390"/>
      <c r="B31" s="588" t="str">
        <f>IF(T13=1,"Obchodní jméno podniku + datum vzniku","Obchodní jméno podniku")</f>
        <v>Obchodní jméno podniku</v>
      </c>
      <c r="C31" s="687" t="s">
        <v>498</v>
      </c>
      <c r="D31" s="688"/>
      <c r="E31" s="658" t="s">
        <v>501</v>
      </c>
      <c r="F31" s="658"/>
      <c r="G31" s="658"/>
      <c r="H31" s="658"/>
      <c r="I31" s="658"/>
      <c r="J31" s="168"/>
      <c r="K31" s="701" t="s">
        <v>87</v>
      </c>
      <c r="L31" s="621"/>
      <c r="M31" s="622"/>
      <c r="N31" s="161"/>
      <c r="O31"/>
      <c r="P31"/>
      <c r="Q31"/>
      <c r="R31"/>
      <c r="S31" s="164"/>
      <c r="T31"/>
    </row>
    <row r="32" spans="1:39" s="9" customFormat="1" ht="56.25" customHeight="1" x14ac:dyDescent="0.25">
      <c r="A32" s="390"/>
      <c r="B32" s="691"/>
      <c r="C32" s="689"/>
      <c r="D32" s="690"/>
      <c r="E32" s="169" t="s">
        <v>15</v>
      </c>
      <c r="F32" s="170" t="s">
        <v>30</v>
      </c>
      <c r="G32" s="170" t="s">
        <v>72</v>
      </c>
      <c r="H32" s="170" t="s">
        <v>83</v>
      </c>
      <c r="I32" s="170" t="s">
        <v>81</v>
      </c>
      <c r="J32" s="170" t="s">
        <v>99</v>
      </c>
      <c r="K32" s="171" t="s">
        <v>23</v>
      </c>
      <c r="L32" s="171" t="s">
        <v>25</v>
      </c>
      <c r="M32" s="172" t="s">
        <v>82</v>
      </c>
      <c r="N32" s="163"/>
      <c r="O32"/>
      <c r="P32"/>
      <c r="Q32" s="654" t="s">
        <v>478</v>
      </c>
      <c r="R32" s="655"/>
      <c r="S32"/>
      <c r="T32"/>
      <c r="X32" s="516" t="s">
        <v>432</v>
      </c>
      <c r="Y32" s="516" t="s">
        <v>433</v>
      </c>
      <c r="Z32" s="618" t="s">
        <v>436</v>
      </c>
      <c r="AA32" s="618" t="s">
        <v>437</v>
      </c>
      <c r="AB32" s="648" t="s">
        <v>440</v>
      </c>
      <c r="AC32" s="648" t="s">
        <v>441</v>
      </c>
      <c r="AD32" s="617" t="s">
        <v>444</v>
      </c>
      <c r="AE32" s="617" t="s">
        <v>445</v>
      </c>
      <c r="AF32" s="587" t="s">
        <v>448</v>
      </c>
      <c r="AG32" s="587" t="s">
        <v>449</v>
      </c>
      <c r="AH32" s="12"/>
    </row>
    <row r="33" spans="1:34" ht="20.100000000000001" customHeight="1" thickBot="1" x14ac:dyDescent="0.3">
      <c r="A33" s="390"/>
      <c r="B33" s="692" t="s">
        <v>415</v>
      </c>
      <c r="C33" s="693"/>
      <c r="D33" s="694"/>
      <c r="E33" s="685" t="s">
        <v>261</v>
      </c>
      <c r="F33" s="685"/>
      <c r="G33" s="685"/>
      <c r="H33" s="685"/>
      <c r="I33" s="685"/>
      <c r="J33" s="685"/>
      <c r="K33" s="685"/>
      <c r="L33" s="685"/>
      <c r="M33" s="686"/>
      <c r="N33" s="163"/>
      <c r="O33" s="173" t="s">
        <v>482</v>
      </c>
      <c r="P33" s="173" t="s">
        <v>483</v>
      </c>
      <c r="Q33" s="174" t="s">
        <v>474</v>
      </c>
      <c r="R33" s="174" t="s">
        <v>475</v>
      </c>
      <c r="V33" s="175" t="s">
        <v>430</v>
      </c>
      <c r="W33" s="175" t="s">
        <v>431</v>
      </c>
      <c r="X33" s="516"/>
      <c r="Y33" s="516"/>
      <c r="Z33" s="618"/>
      <c r="AA33" s="618"/>
      <c r="AB33" s="648"/>
      <c r="AC33" s="648"/>
      <c r="AD33" s="617"/>
      <c r="AE33" s="617"/>
      <c r="AF33" s="587"/>
      <c r="AG33" s="587"/>
      <c r="AH33" s="13"/>
    </row>
    <row r="34" spans="1:34" s="21" customFormat="1" ht="15.6" customHeight="1" x14ac:dyDescent="0.25">
      <c r="A34" s="390"/>
      <c r="B34" s="380" t="s">
        <v>503</v>
      </c>
      <c r="C34" s="757"/>
      <c r="D34" s="758"/>
      <c r="E34" s="278"/>
      <c r="F34" s="279"/>
      <c r="G34" s="280"/>
      <c r="H34" s="649" t="s">
        <v>84</v>
      </c>
      <c r="I34" s="649"/>
      <c r="J34" s="279"/>
      <c r="K34" s="279"/>
      <c r="L34" s="279"/>
      <c r="M34" s="285"/>
      <c r="N34" s="159"/>
      <c r="O34" s="70">
        <f>IF(OR(E34&lt;&gt;0,F34&lt;&gt;0,G34&lt;&gt;0,J34&lt;&gt;0,K34&lt;&gt;0,L34&lt;&gt;0,M34&lt;&gt;0),1,0)</f>
        <v>0</v>
      </c>
      <c r="P34" s="70">
        <f>IF(AND(C34="",O34=1),1,0)</f>
        <v>0</v>
      </c>
      <c r="Q34" s="70">
        <f>IF(C34=$T$28,1,0)</f>
        <v>0</v>
      </c>
      <c r="R34" s="70">
        <f>IF(C34=$T$30,1,0)</f>
        <v>0</v>
      </c>
      <c r="S34"/>
      <c r="T34"/>
      <c r="V34" s="176" t="str">
        <f t="shared" ref="V34:V63" si="0">B34</f>
        <v>Podnik 1.</v>
      </c>
      <c r="W34" s="21">
        <f t="shared" ref="W34:W63" si="1">IF(C34="",0,IF(C34=$T$28,0,1))</f>
        <v>0</v>
      </c>
      <c r="X34" s="70">
        <f t="shared" ref="X34" si="2">IF(C34=$T$28,E34,0)</f>
        <v>0</v>
      </c>
      <c r="Y34" s="70">
        <f t="shared" ref="Y34" si="3">IF(C34=$T$30,E34,0)</f>
        <v>0</v>
      </c>
      <c r="Z34" s="70">
        <f t="shared" ref="Z34" si="4">IF(C34=$T$28,E34,0)</f>
        <v>0</v>
      </c>
      <c r="AA34" s="70">
        <f t="shared" ref="AA34" si="5">IF(C34=$T$30,J34,0)</f>
        <v>0</v>
      </c>
      <c r="AB34" s="70">
        <f t="shared" ref="AB34" si="6">IF(C34=$T$28,K34,0)</f>
        <v>0</v>
      </c>
      <c r="AC34" s="70">
        <f t="shared" ref="AC34" si="7">IF(C34=$T$30,K34,0)</f>
        <v>0</v>
      </c>
      <c r="AD34" s="70">
        <f t="shared" ref="AD34" si="8">IF(C34=$T$28,L34,0)</f>
        <v>0</v>
      </c>
      <c r="AE34" s="70">
        <f t="shared" ref="AE34" si="9">IF(C34=$T$30,L34,0)</f>
        <v>0</v>
      </c>
      <c r="AF34" s="70">
        <f t="shared" ref="AF34" si="10">IF(C34=$T$28,M34,0)</f>
        <v>0</v>
      </c>
      <c r="AG34" s="177">
        <f t="shared" ref="AG34" si="11">IF(C34=$T$30,M34,0)</f>
        <v>0</v>
      </c>
    </row>
    <row r="35" spans="1:34" s="21" customFormat="1" ht="15.6" customHeight="1" x14ac:dyDescent="0.25">
      <c r="A35" s="390"/>
      <c r="B35" s="277" t="s">
        <v>504</v>
      </c>
      <c r="C35" s="603"/>
      <c r="D35" s="604"/>
      <c r="E35" s="367"/>
      <c r="F35" s="368"/>
      <c r="G35" s="369"/>
      <c r="H35" s="650"/>
      <c r="I35" s="650"/>
      <c r="J35" s="368"/>
      <c r="K35" s="368"/>
      <c r="L35" s="368"/>
      <c r="M35" s="370"/>
      <c r="N35" s="159"/>
      <c r="O35" s="70">
        <f>IF(OR(E35&lt;&gt;0,F35&lt;&gt;0,G35&lt;&gt;0,J35&lt;&gt;0,K35&lt;&gt;0,L35&lt;&gt;0,M35&lt;&gt;0),1,0)</f>
        <v>0</v>
      </c>
      <c r="P35" s="70">
        <f t="shared" ref="P35:P63" si="12">IF(AND(C35="",O35=1),1,0)</f>
        <v>0</v>
      </c>
      <c r="Q35" s="70">
        <f t="shared" ref="Q35:Q49" si="13">IF(C35=$T$28,1,0)</f>
        <v>0</v>
      </c>
      <c r="R35" s="70">
        <f t="shared" ref="R35:R49" si="14">IF(C35=$T$30,1,0)</f>
        <v>0</v>
      </c>
      <c r="S35"/>
      <c r="T35"/>
      <c r="V35" s="176" t="str">
        <f t="shared" si="0"/>
        <v>Podnik 2.</v>
      </c>
      <c r="W35" s="21">
        <f t="shared" si="1"/>
        <v>0</v>
      </c>
      <c r="X35" s="70">
        <f t="shared" ref="X35:X50" si="15">IF(C35=$T$28,E35,0)</f>
        <v>0</v>
      </c>
      <c r="Y35" s="70">
        <f t="shared" ref="Y35:Y50" si="16">IF(C35=$T$30,E35,0)</f>
        <v>0</v>
      </c>
      <c r="Z35" s="70">
        <f t="shared" ref="Z35:Z50" si="17">IF(C35=$T$28,E35,0)</f>
        <v>0</v>
      </c>
      <c r="AA35" s="70">
        <f t="shared" ref="AA35:AA50" si="18">IF(C35=$T$30,J35,0)</f>
        <v>0</v>
      </c>
      <c r="AB35" s="70">
        <f t="shared" ref="AB35:AB50" si="19">IF(C35=$T$28,K35,0)</f>
        <v>0</v>
      </c>
      <c r="AC35" s="70">
        <f t="shared" ref="AC35:AC50" si="20">IF(C35=$T$30,K35,0)</f>
        <v>0</v>
      </c>
      <c r="AD35" s="70">
        <f t="shared" ref="AD35:AD50" si="21">IF(C35=$T$28,L35,0)</f>
        <v>0</v>
      </c>
      <c r="AE35" s="70">
        <f t="shared" ref="AE35:AE50" si="22">IF(C35=$T$30,L35,0)</f>
        <v>0</v>
      </c>
      <c r="AF35" s="70">
        <f t="shared" ref="AF35:AF50" si="23">IF(C35=$T$28,M35,0)</f>
        <v>0</v>
      </c>
      <c r="AG35" s="177">
        <f t="shared" ref="AG35:AG50" si="24">IF(C35=$T$30,M35,0)</f>
        <v>0</v>
      </c>
    </row>
    <row r="36" spans="1:34" s="21" customFormat="1" ht="15.6" customHeight="1" x14ac:dyDescent="0.25">
      <c r="A36" s="390"/>
      <c r="B36" s="281" t="s">
        <v>505</v>
      </c>
      <c r="C36" s="603"/>
      <c r="D36" s="604"/>
      <c r="E36" s="282"/>
      <c r="F36" s="4"/>
      <c r="G36" s="283"/>
      <c r="H36" s="651"/>
      <c r="I36" s="651"/>
      <c r="J36" s="286"/>
      <c r="K36" s="286"/>
      <c r="L36" s="1"/>
      <c r="M36" s="2"/>
      <c r="N36" s="159"/>
      <c r="O36" s="70">
        <f t="shared" ref="O36:O49" si="25">IF(OR(E36&lt;&gt;0,F36&lt;&gt;0,G36&lt;&gt;0,J36&lt;&gt;0,K36&lt;&gt;0,L36&lt;&gt;0,M36&lt;&gt;0),1,0)</f>
        <v>0</v>
      </c>
      <c r="P36" s="70">
        <f t="shared" si="12"/>
        <v>0</v>
      </c>
      <c r="Q36" s="70">
        <f t="shared" si="13"/>
        <v>0</v>
      </c>
      <c r="R36" s="70">
        <f t="shared" si="14"/>
        <v>0</v>
      </c>
      <c r="S36"/>
      <c r="T36"/>
      <c r="V36" s="176" t="str">
        <f t="shared" si="0"/>
        <v>Podnik 3.</v>
      </c>
      <c r="W36" s="21">
        <f t="shared" si="1"/>
        <v>0</v>
      </c>
      <c r="X36" s="70">
        <f t="shared" si="15"/>
        <v>0</v>
      </c>
      <c r="Y36" s="70">
        <f t="shared" si="16"/>
        <v>0</v>
      </c>
      <c r="Z36" s="70">
        <f t="shared" si="17"/>
        <v>0</v>
      </c>
      <c r="AA36" s="70">
        <f t="shared" si="18"/>
        <v>0</v>
      </c>
      <c r="AB36" s="70">
        <f t="shared" si="19"/>
        <v>0</v>
      </c>
      <c r="AC36" s="70">
        <f t="shared" si="20"/>
        <v>0</v>
      </c>
      <c r="AD36" s="70">
        <f t="shared" si="21"/>
        <v>0</v>
      </c>
      <c r="AE36" s="70">
        <f t="shared" si="22"/>
        <v>0</v>
      </c>
      <c r="AF36" s="70">
        <f t="shared" si="23"/>
        <v>0</v>
      </c>
      <c r="AG36" s="177">
        <f t="shared" si="24"/>
        <v>0</v>
      </c>
    </row>
    <row r="37" spans="1:34" s="21" customFormat="1" ht="15.6" customHeight="1" x14ac:dyDescent="0.25">
      <c r="A37" s="390"/>
      <c r="B37" s="281" t="s">
        <v>506</v>
      </c>
      <c r="C37" s="603"/>
      <c r="D37" s="604"/>
      <c r="E37" s="282"/>
      <c r="F37" s="4"/>
      <c r="G37" s="283"/>
      <c r="H37" s="651"/>
      <c r="I37" s="651"/>
      <c r="J37" s="286"/>
      <c r="K37" s="286"/>
      <c r="L37" s="1"/>
      <c r="M37" s="2"/>
      <c r="N37" s="159"/>
      <c r="O37" s="70">
        <f t="shared" si="25"/>
        <v>0</v>
      </c>
      <c r="P37" s="70">
        <f t="shared" si="12"/>
        <v>0</v>
      </c>
      <c r="Q37" s="70">
        <f t="shared" si="13"/>
        <v>0</v>
      </c>
      <c r="R37" s="70">
        <f t="shared" si="14"/>
        <v>0</v>
      </c>
      <c r="S37"/>
      <c r="T37"/>
      <c r="V37" s="176" t="str">
        <f t="shared" si="0"/>
        <v>Podnik 4.</v>
      </c>
      <c r="W37" s="21">
        <f t="shared" si="1"/>
        <v>0</v>
      </c>
      <c r="X37" s="70">
        <f t="shared" si="15"/>
        <v>0</v>
      </c>
      <c r="Y37" s="70">
        <f t="shared" si="16"/>
        <v>0</v>
      </c>
      <c r="Z37" s="70">
        <f t="shared" si="17"/>
        <v>0</v>
      </c>
      <c r="AA37" s="70">
        <f t="shared" si="18"/>
        <v>0</v>
      </c>
      <c r="AB37" s="70">
        <f t="shared" si="19"/>
        <v>0</v>
      </c>
      <c r="AC37" s="70">
        <f t="shared" si="20"/>
        <v>0</v>
      </c>
      <c r="AD37" s="70">
        <f t="shared" si="21"/>
        <v>0</v>
      </c>
      <c r="AE37" s="70">
        <f t="shared" si="22"/>
        <v>0</v>
      </c>
      <c r="AF37" s="70">
        <f t="shared" si="23"/>
        <v>0</v>
      </c>
      <c r="AG37" s="177">
        <f t="shared" si="24"/>
        <v>0</v>
      </c>
    </row>
    <row r="38" spans="1:34" s="21" customFormat="1" ht="15.6" customHeight="1" x14ac:dyDescent="0.25">
      <c r="A38" s="390"/>
      <c r="B38" s="281" t="s">
        <v>507</v>
      </c>
      <c r="C38" s="603"/>
      <c r="D38" s="604"/>
      <c r="E38" s="282"/>
      <c r="F38" s="4"/>
      <c r="G38" s="283"/>
      <c r="H38" s="651"/>
      <c r="I38" s="651"/>
      <c r="J38" s="286"/>
      <c r="K38" s="286"/>
      <c r="L38" s="1"/>
      <c r="M38" s="2"/>
      <c r="N38" s="159"/>
      <c r="O38" s="70">
        <f t="shared" si="25"/>
        <v>0</v>
      </c>
      <c r="P38" s="70">
        <f t="shared" si="12"/>
        <v>0</v>
      </c>
      <c r="Q38" s="70">
        <f t="shared" si="13"/>
        <v>0</v>
      </c>
      <c r="R38" s="70">
        <f t="shared" si="14"/>
        <v>0</v>
      </c>
      <c r="S38"/>
      <c r="T38"/>
      <c r="V38" s="176" t="str">
        <f t="shared" si="0"/>
        <v>Podnik 5.</v>
      </c>
      <c r="W38" s="21">
        <f t="shared" si="1"/>
        <v>0</v>
      </c>
      <c r="X38" s="70">
        <f t="shared" si="15"/>
        <v>0</v>
      </c>
      <c r="Y38" s="70">
        <f t="shared" si="16"/>
        <v>0</v>
      </c>
      <c r="Z38" s="70">
        <f t="shared" si="17"/>
        <v>0</v>
      </c>
      <c r="AA38" s="70">
        <f t="shared" si="18"/>
        <v>0</v>
      </c>
      <c r="AB38" s="70">
        <f t="shared" si="19"/>
        <v>0</v>
      </c>
      <c r="AC38" s="70">
        <f t="shared" si="20"/>
        <v>0</v>
      </c>
      <c r="AD38" s="70">
        <f t="shared" si="21"/>
        <v>0</v>
      </c>
      <c r="AE38" s="70">
        <f t="shared" si="22"/>
        <v>0</v>
      </c>
      <c r="AF38" s="70">
        <f t="shared" si="23"/>
        <v>0</v>
      </c>
      <c r="AG38" s="177">
        <f t="shared" si="24"/>
        <v>0</v>
      </c>
    </row>
    <row r="39" spans="1:34" s="21" customFormat="1" ht="15.6" customHeight="1" x14ac:dyDescent="0.25">
      <c r="A39" s="390"/>
      <c r="B39" s="281" t="s">
        <v>508</v>
      </c>
      <c r="C39" s="603"/>
      <c r="D39" s="604"/>
      <c r="E39" s="282"/>
      <c r="F39" s="4"/>
      <c r="G39" s="283"/>
      <c r="H39" s="651"/>
      <c r="I39" s="651"/>
      <c r="J39" s="286"/>
      <c r="K39" s="286"/>
      <c r="L39" s="1"/>
      <c r="M39" s="2"/>
      <c r="N39" s="159"/>
      <c r="O39" s="70">
        <f t="shared" si="25"/>
        <v>0</v>
      </c>
      <c r="P39" s="70">
        <f>IF(AND(C39="",O39=1),1,0)</f>
        <v>0</v>
      </c>
      <c r="Q39" s="70">
        <f t="shared" si="13"/>
        <v>0</v>
      </c>
      <c r="R39" s="70">
        <f t="shared" si="14"/>
        <v>0</v>
      </c>
      <c r="S39"/>
      <c r="T39"/>
      <c r="V39" s="176" t="str">
        <f t="shared" si="0"/>
        <v>Podnik 6.</v>
      </c>
      <c r="W39" s="21">
        <f t="shared" si="1"/>
        <v>0</v>
      </c>
      <c r="X39" s="70">
        <f t="shared" si="15"/>
        <v>0</v>
      </c>
      <c r="Y39" s="70">
        <f t="shared" si="16"/>
        <v>0</v>
      </c>
      <c r="Z39" s="70">
        <f t="shared" si="17"/>
        <v>0</v>
      </c>
      <c r="AA39" s="70">
        <f t="shared" si="18"/>
        <v>0</v>
      </c>
      <c r="AB39" s="70">
        <f t="shared" si="19"/>
        <v>0</v>
      </c>
      <c r="AC39" s="70">
        <f t="shared" si="20"/>
        <v>0</v>
      </c>
      <c r="AD39" s="70">
        <f t="shared" si="21"/>
        <v>0</v>
      </c>
      <c r="AE39" s="70">
        <f t="shared" si="22"/>
        <v>0</v>
      </c>
      <c r="AF39" s="70">
        <f t="shared" si="23"/>
        <v>0</v>
      </c>
      <c r="AG39" s="177">
        <f t="shared" si="24"/>
        <v>0</v>
      </c>
    </row>
    <row r="40" spans="1:34" s="21" customFormat="1" ht="15.6" customHeight="1" x14ac:dyDescent="0.25">
      <c r="A40" s="390"/>
      <c r="B40" s="281" t="s">
        <v>509</v>
      </c>
      <c r="C40" s="603"/>
      <c r="D40" s="604"/>
      <c r="E40" s="282"/>
      <c r="F40" s="4"/>
      <c r="G40" s="283"/>
      <c r="H40" s="651"/>
      <c r="I40" s="651"/>
      <c r="J40" s="286"/>
      <c r="K40" s="286"/>
      <c r="L40" s="1"/>
      <c r="M40" s="2"/>
      <c r="N40" s="159"/>
      <c r="O40" s="70">
        <f t="shared" si="25"/>
        <v>0</v>
      </c>
      <c r="P40" s="70">
        <f t="shared" si="12"/>
        <v>0</v>
      </c>
      <c r="Q40" s="70">
        <f t="shared" si="13"/>
        <v>0</v>
      </c>
      <c r="R40" s="70">
        <f t="shared" si="14"/>
        <v>0</v>
      </c>
      <c r="S40"/>
      <c r="T40"/>
      <c r="V40" s="176" t="str">
        <f t="shared" si="0"/>
        <v>Podnik 7.</v>
      </c>
      <c r="W40" s="21">
        <f t="shared" si="1"/>
        <v>0</v>
      </c>
      <c r="X40" s="70">
        <f t="shared" si="15"/>
        <v>0</v>
      </c>
      <c r="Y40" s="70">
        <f t="shared" si="16"/>
        <v>0</v>
      </c>
      <c r="Z40" s="70">
        <f t="shared" si="17"/>
        <v>0</v>
      </c>
      <c r="AA40" s="70">
        <f t="shared" si="18"/>
        <v>0</v>
      </c>
      <c r="AB40" s="70">
        <f t="shared" si="19"/>
        <v>0</v>
      </c>
      <c r="AC40" s="70">
        <f t="shared" si="20"/>
        <v>0</v>
      </c>
      <c r="AD40" s="70">
        <f t="shared" si="21"/>
        <v>0</v>
      </c>
      <c r="AE40" s="70">
        <f t="shared" si="22"/>
        <v>0</v>
      </c>
      <c r="AF40" s="70">
        <f t="shared" si="23"/>
        <v>0</v>
      </c>
      <c r="AG40" s="177">
        <f t="shared" si="24"/>
        <v>0</v>
      </c>
    </row>
    <row r="41" spans="1:34" s="21" customFormat="1" ht="15.6" customHeight="1" x14ac:dyDescent="0.25">
      <c r="A41" s="390"/>
      <c r="B41" s="281" t="s">
        <v>510</v>
      </c>
      <c r="C41" s="603"/>
      <c r="D41" s="604"/>
      <c r="E41" s="282"/>
      <c r="F41" s="4"/>
      <c r="G41" s="283"/>
      <c r="H41" s="651"/>
      <c r="I41" s="651"/>
      <c r="J41" s="286"/>
      <c r="K41" s="286"/>
      <c r="L41" s="1"/>
      <c r="M41" s="2"/>
      <c r="N41" s="159"/>
      <c r="O41" s="70">
        <f t="shared" si="25"/>
        <v>0</v>
      </c>
      <c r="P41" s="70">
        <f t="shared" si="12"/>
        <v>0</v>
      </c>
      <c r="Q41" s="70">
        <f t="shared" si="13"/>
        <v>0</v>
      </c>
      <c r="R41" s="70">
        <f t="shared" si="14"/>
        <v>0</v>
      </c>
      <c r="S41"/>
      <c r="T41"/>
      <c r="V41" s="176" t="str">
        <f t="shared" si="0"/>
        <v>Podnik 8.</v>
      </c>
      <c r="W41" s="21">
        <f t="shared" si="1"/>
        <v>0</v>
      </c>
      <c r="X41" s="70">
        <f t="shared" si="15"/>
        <v>0</v>
      </c>
      <c r="Y41" s="70">
        <f t="shared" si="16"/>
        <v>0</v>
      </c>
      <c r="Z41" s="70">
        <f t="shared" si="17"/>
        <v>0</v>
      </c>
      <c r="AA41" s="70">
        <f t="shared" si="18"/>
        <v>0</v>
      </c>
      <c r="AB41" s="70">
        <f t="shared" si="19"/>
        <v>0</v>
      </c>
      <c r="AC41" s="70">
        <f t="shared" si="20"/>
        <v>0</v>
      </c>
      <c r="AD41" s="70">
        <f t="shared" si="21"/>
        <v>0</v>
      </c>
      <c r="AE41" s="70">
        <f t="shared" si="22"/>
        <v>0</v>
      </c>
      <c r="AF41" s="70">
        <f t="shared" si="23"/>
        <v>0</v>
      </c>
      <c r="AG41" s="177">
        <f t="shared" si="24"/>
        <v>0</v>
      </c>
    </row>
    <row r="42" spans="1:34" s="21" customFormat="1" ht="15.6" customHeight="1" x14ac:dyDescent="0.25">
      <c r="A42" s="390"/>
      <c r="B42" s="281" t="s">
        <v>511</v>
      </c>
      <c r="C42" s="603"/>
      <c r="D42" s="604"/>
      <c r="E42" s="282"/>
      <c r="F42" s="4"/>
      <c r="G42" s="283"/>
      <c r="H42" s="651"/>
      <c r="I42" s="651"/>
      <c r="J42" s="286"/>
      <c r="K42" s="286"/>
      <c r="L42" s="1"/>
      <c r="M42" s="2"/>
      <c r="N42" s="159"/>
      <c r="O42" s="70">
        <f t="shared" si="25"/>
        <v>0</v>
      </c>
      <c r="P42" s="70">
        <f t="shared" si="12"/>
        <v>0</v>
      </c>
      <c r="Q42" s="70">
        <f t="shared" si="13"/>
        <v>0</v>
      </c>
      <c r="R42" s="70">
        <f t="shared" si="14"/>
        <v>0</v>
      </c>
      <c r="S42"/>
      <c r="T42"/>
      <c r="V42" s="176" t="str">
        <f t="shared" si="0"/>
        <v>Podnik 9.</v>
      </c>
      <c r="W42" s="21">
        <f t="shared" si="1"/>
        <v>0</v>
      </c>
      <c r="X42" s="70">
        <f t="shared" si="15"/>
        <v>0</v>
      </c>
      <c r="Y42" s="70">
        <f t="shared" si="16"/>
        <v>0</v>
      </c>
      <c r="Z42" s="70">
        <f t="shared" si="17"/>
        <v>0</v>
      </c>
      <c r="AA42" s="70">
        <f t="shared" si="18"/>
        <v>0</v>
      </c>
      <c r="AB42" s="70">
        <f t="shared" si="19"/>
        <v>0</v>
      </c>
      <c r="AC42" s="70">
        <f t="shared" si="20"/>
        <v>0</v>
      </c>
      <c r="AD42" s="70">
        <f t="shared" si="21"/>
        <v>0</v>
      </c>
      <c r="AE42" s="70">
        <f t="shared" si="22"/>
        <v>0</v>
      </c>
      <c r="AF42" s="70">
        <f t="shared" si="23"/>
        <v>0</v>
      </c>
      <c r="AG42" s="177">
        <f t="shared" si="24"/>
        <v>0</v>
      </c>
    </row>
    <row r="43" spans="1:34" s="21" customFormat="1" ht="15.6" customHeight="1" x14ac:dyDescent="0.25">
      <c r="A43" s="390"/>
      <c r="B43" s="281" t="s">
        <v>512</v>
      </c>
      <c r="C43" s="603"/>
      <c r="D43" s="604"/>
      <c r="E43" s="282"/>
      <c r="F43" s="4"/>
      <c r="G43" s="283"/>
      <c r="H43" s="651"/>
      <c r="I43" s="651"/>
      <c r="J43" s="286"/>
      <c r="K43" s="286"/>
      <c r="L43" s="1"/>
      <c r="M43" s="2"/>
      <c r="N43" s="159"/>
      <c r="O43" s="70">
        <f t="shared" si="25"/>
        <v>0</v>
      </c>
      <c r="P43" s="70">
        <f t="shared" si="12"/>
        <v>0</v>
      </c>
      <c r="Q43" s="70">
        <f t="shared" si="13"/>
        <v>0</v>
      </c>
      <c r="R43" s="70">
        <f t="shared" si="14"/>
        <v>0</v>
      </c>
      <c r="S43"/>
      <c r="T43"/>
      <c r="V43" s="176" t="str">
        <f t="shared" si="0"/>
        <v>Podnik 10.</v>
      </c>
      <c r="W43" s="21">
        <f t="shared" si="1"/>
        <v>0</v>
      </c>
      <c r="X43" s="70">
        <f t="shared" si="15"/>
        <v>0</v>
      </c>
      <c r="Y43" s="70">
        <f t="shared" si="16"/>
        <v>0</v>
      </c>
      <c r="Z43" s="70">
        <f t="shared" si="17"/>
        <v>0</v>
      </c>
      <c r="AA43" s="70">
        <f t="shared" si="18"/>
        <v>0</v>
      </c>
      <c r="AB43" s="70">
        <f t="shared" si="19"/>
        <v>0</v>
      </c>
      <c r="AC43" s="70">
        <f t="shared" si="20"/>
        <v>0</v>
      </c>
      <c r="AD43" s="70">
        <f t="shared" si="21"/>
        <v>0</v>
      </c>
      <c r="AE43" s="70">
        <f t="shared" si="22"/>
        <v>0</v>
      </c>
      <c r="AF43" s="70">
        <f t="shared" si="23"/>
        <v>0</v>
      </c>
      <c r="AG43" s="177">
        <f t="shared" si="24"/>
        <v>0</v>
      </c>
    </row>
    <row r="44" spans="1:34" s="21" customFormat="1" ht="15.6" customHeight="1" x14ac:dyDescent="0.25">
      <c r="A44" s="390"/>
      <c r="B44" s="281" t="s">
        <v>517</v>
      </c>
      <c r="C44" s="603"/>
      <c r="D44" s="604"/>
      <c r="E44" s="282"/>
      <c r="F44" s="4"/>
      <c r="G44" s="283"/>
      <c r="H44" s="651"/>
      <c r="I44" s="651"/>
      <c r="J44" s="286"/>
      <c r="K44" s="286"/>
      <c r="L44" s="1"/>
      <c r="M44" s="2"/>
      <c r="N44" s="159"/>
      <c r="O44" s="70">
        <f t="shared" si="25"/>
        <v>0</v>
      </c>
      <c r="P44" s="70">
        <f t="shared" si="12"/>
        <v>0</v>
      </c>
      <c r="Q44" s="70">
        <f t="shared" si="13"/>
        <v>0</v>
      </c>
      <c r="R44" s="70">
        <f t="shared" si="14"/>
        <v>0</v>
      </c>
      <c r="S44"/>
      <c r="T44"/>
      <c r="V44" s="176" t="str">
        <f t="shared" si="0"/>
        <v>Podnik 11.</v>
      </c>
      <c r="W44" s="21">
        <f t="shared" si="1"/>
        <v>0</v>
      </c>
      <c r="X44" s="70">
        <f t="shared" si="15"/>
        <v>0</v>
      </c>
      <c r="Y44" s="70">
        <f t="shared" si="16"/>
        <v>0</v>
      </c>
      <c r="Z44" s="70">
        <f t="shared" si="17"/>
        <v>0</v>
      </c>
      <c r="AA44" s="70">
        <f t="shared" si="18"/>
        <v>0</v>
      </c>
      <c r="AB44" s="70">
        <f t="shared" si="19"/>
        <v>0</v>
      </c>
      <c r="AC44" s="70">
        <f t="shared" si="20"/>
        <v>0</v>
      </c>
      <c r="AD44" s="70">
        <f t="shared" si="21"/>
        <v>0</v>
      </c>
      <c r="AE44" s="70">
        <f t="shared" si="22"/>
        <v>0</v>
      </c>
      <c r="AF44" s="70">
        <f t="shared" si="23"/>
        <v>0</v>
      </c>
      <c r="AG44" s="177">
        <f t="shared" si="24"/>
        <v>0</v>
      </c>
    </row>
    <row r="45" spans="1:34" s="21" customFormat="1" ht="15.6" customHeight="1" x14ac:dyDescent="0.25">
      <c r="A45" s="390"/>
      <c r="B45" s="281" t="s">
        <v>519</v>
      </c>
      <c r="C45" s="603"/>
      <c r="D45" s="604"/>
      <c r="E45" s="282"/>
      <c r="F45" s="4"/>
      <c r="G45" s="283"/>
      <c r="H45" s="651"/>
      <c r="I45" s="651"/>
      <c r="J45" s="286"/>
      <c r="K45" s="286"/>
      <c r="L45" s="1"/>
      <c r="M45" s="2"/>
      <c r="N45" s="159"/>
      <c r="O45" s="70">
        <f t="shared" si="25"/>
        <v>0</v>
      </c>
      <c r="P45" s="70">
        <f t="shared" si="12"/>
        <v>0</v>
      </c>
      <c r="Q45" s="70">
        <f t="shared" si="13"/>
        <v>0</v>
      </c>
      <c r="R45" s="70">
        <f t="shared" si="14"/>
        <v>0</v>
      </c>
      <c r="S45"/>
      <c r="T45"/>
      <c r="V45" s="176" t="str">
        <f t="shared" si="0"/>
        <v>Podnik 12.</v>
      </c>
      <c r="W45" s="21">
        <f t="shared" si="1"/>
        <v>0</v>
      </c>
      <c r="X45" s="70">
        <f t="shared" si="15"/>
        <v>0</v>
      </c>
      <c r="Y45" s="70">
        <f t="shared" si="16"/>
        <v>0</v>
      </c>
      <c r="Z45" s="70">
        <f t="shared" si="17"/>
        <v>0</v>
      </c>
      <c r="AA45" s="70">
        <f t="shared" si="18"/>
        <v>0</v>
      </c>
      <c r="AB45" s="70">
        <f t="shared" si="19"/>
        <v>0</v>
      </c>
      <c r="AC45" s="70">
        <f t="shared" si="20"/>
        <v>0</v>
      </c>
      <c r="AD45" s="70">
        <f t="shared" si="21"/>
        <v>0</v>
      </c>
      <c r="AE45" s="70">
        <f t="shared" si="22"/>
        <v>0</v>
      </c>
      <c r="AF45" s="70">
        <f t="shared" si="23"/>
        <v>0</v>
      </c>
      <c r="AG45" s="177">
        <f t="shared" si="24"/>
        <v>0</v>
      </c>
    </row>
    <row r="46" spans="1:34" s="21" customFormat="1" ht="15.6" customHeight="1" x14ac:dyDescent="0.25">
      <c r="A46" s="390"/>
      <c r="B46" s="281" t="s">
        <v>518</v>
      </c>
      <c r="C46" s="603"/>
      <c r="D46" s="604"/>
      <c r="E46" s="282"/>
      <c r="F46" s="4"/>
      <c r="G46" s="283"/>
      <c r="H46" s="651"/>
      <c r="I46" s="651"/>
      <c r="J46" s="286"/>
      <c r="K46" s="286"/>
      <c r="L46" s="1"/>
      <c r="M46" s="2"/>
      <c r="N46" s="159"/>
      <c r="O46" s="70">
        <f t="shared" si="25"/>
        <v>0</v>
      </c>
      <c r="P46" s="70">
        <f t="shared" si="12"/>
        <v>0</v>
      </c>
      <c r="Q46" s="70">
        <f t="shared" si="13"/>
        <v>0</v>
      </c>
      <c r="R46" s="70">
        <f t="shared" si="14"/>
        <v>0</v>
      </c>
      <c r="S46"/>
      <c r="T46"/>
      <c r="V46" s="176" t="str">
        <f t="shared" si="0"/>
        <v>Podnik 13.</v>
      </c>
      <c r="W46" s="21">
        <f t="shared" si="1"/>
        <v>0</v>
      </c>
      <c r="X46" s="70">
        <f t="shared" si="15"/>
        <v>0</v>
      </c>
      <c r="Y46" s="70">
        <f t="shared" si="16"/>
        <v>0</v>
      </c>
      <c r="Z46" s="70">
        <f t="shared" si="17"/>
        <v>0</v>
      </c>
      <c r="AA46" s="70">
        <f t="shared" si="18"/>
        <v>0</v>
      </c>
      <c r="AB46" s="70">
        <f t="shared" si="19"/>
        <v>0</v>
      </c>
      <c r="AC46" s="70">
        <f t="shared" si="20"/>
        <v>0</v>
      </c>
      <c r="AD46" s="70">
        <f t="shared" si="21"/>
        <v>0</v>
      </c>
      <c r="AE46" s="70">
        <f t="shared" si="22"/>
        <v>0</v>
      </c>
      <c r="AF46" s="70">
        <f t="shared" si="23"/>
        <v>0</v>
      </c>
      <c r="AG46" s="177">
        <f t="shared" si="24"/>
        <v>0</v>
      </c>
    </row>
    <row r="47" spans="1:34" s="21" customFormat="1" ht="15.6" customHeight="1" x14ac:dyDescent="0.25">
      <c r="A47" s="390"/>
      <c r="B47" s="281" t="s">
        <v>520</v>
      </c>
      <c r="C47" s="603"/>
      <c r="D47" s="604"/>
      <c r="E47" s="282"/>
      <c r="F47" s="4"/>
      <c r="G47" s="283"/>
      <c r="H47" s="651"/>
      <c r="I47" s="651"/>
      <c r="J47" s="286"/>
      <c r="K47" s="286"/>
      <c r="L47" s="1"/>
      <c r="M47" s="2"/>
      <c r="N47" s="159"/>
      <c r="O47" s="70">
        <f t="shared" si="25"/>
        <v>0</v>
      </c>
      <c r="P47" s="70">
        <f t="shared" si="12"/>
        <v>0</v>
      </c>
      <c r="Q47" s="70">
        <f t="shared" si="13"/>
        <v>0</v>
      </c>
      <c r="R47" s="70">
        <f t="shared" si="14"/>
        <v>0</v>
      </c>
      <c r="S47"/>
      <c r="T47"/>
      <c r="V47" s="176" t="str">
        <f t="shared" si="0"/>
        <v>Podnik 14.</v>
      </c>
      <c r="W47" s="21">
        <f t="shared" si="1"/>
        <v>0</v>
      </c>
      <c r="X47" s="70">
        <f t="shared" si="15"/>
        <v>0</v>
      </c>
      <c r="Y47" s="70">
        <f t="shared" si="16"/>
        <v>0</v>
      </c>
      <c r="Z47" s="70">
        <f t="shared" si="17"/>
        <v>0</v>
      </c>
      <c r="AA47" s="70">
        <f t="shared" si="18"/>
        <v>0</v>
      </c>
      <c r="AB47" s="70">
        <f t="shared" si="19"/>
        <v>0</v>
      </c>
      <c r="AC47" s="70">
        <f t="shared" si="20"/>
        <v>0</v>
      </c>
      <c r="AD47" s="70">
        <f t="shared" si="21"/>
        <v>0</v>
      </c>
      <c r="AE47" s="70">
        <f t="shared" si="22"/>
        <v>0</v>
      </c>
      <c r="AF47" s="70">
        <f t="shared" si="23"/>
        <v>0</v>
      </c>
      <c r="AG47" s="177">
        <f t="shared" si="24"/>
        <v>0</v>
      </c>
    </row>
    <row r="48" spans="1:34" s="21" customFormat="1" ht="15.6" customHeight="1" x14ac:dyDescent="0.25">
      <c r="A48" s="390"/>
      <c r="B48" s="281" t="s">
        <v>521</v>
      </c>
      <c r="C48" s="603"/>
      <c r="D48" s="604"/>
      <c r="E48" s="282"/>
      <c r="F48" s="4"/>
      <c r="G48" s="283"/>
      <c r="H48" s="651"/>
      <c r="I48" s="651"/>
      <c r="J48" s="286"/>
      <c r="K48" s="286"/>
      <c r="L48" s="1"/>
      <c r="M48" s="2"/>
      <c r="N48" s="159"/>
      <c r="O48" s="70">
        <f t="shared" si="25"/>
        <v>0</v>
      </c>
      <c r="P48" s="70">
        <f t="shared" si="12"/>
        <v>0</v>
      </c>
      <c r="Q48" s="70">
        <f t="shared" si="13"/>
        <v>0</v>
      </c>
      <c r="R48" s="70">
        <f t="shared" si="14"/>
        <v>0</v>
      </c>
      <c r="S48"/>
      <c r="T48"/>
      <c r="V48" s="176" t="str">
        <f t="shared" si="0"/>
        <v>Podnik 15.</v>
      </c>
      <c r="W48" s="21">
        <f t="shared" si="1"/>
        <v>0</v>
      </c>
      <c r="X48" s="70">
        <f t="shared" si="15"/>
        <v>0</v>
      </c>
      <c r="Y48" s="70">
        <f t="shared" si="16"/>
        <v>0</v>
      </c>
      <c r="Z48" s="70">
        <f t="shared" si="17"/>
        <v>0</v>
      </c>
      <c r="AA48" s="70">
        <f t="shared" si="18"/>
        <v>0</v>
      </c>
      <c r="AB48" s="70">
        <f t="shared" si="19"/>
        <v>0</v>
      </c>
      <c r="AC48" s="70">
        <f t="shared" si="20"/>
        <v>0</v>
      </c>
      <c r="AD48" s="70">
        <f t="shared" si="21"/>
        <v>0</v>
      </c>
      <c r="AE48" s="70">
        <f t="shared" si="22"/>
        <v>0</v>
      </c>
      <c r="AF48" s="70">
        <f t="shared" si="23"/>
        <v>0</v>
      </c>
      <c r="AG48" s="177">
        <f t="shared" si="24"/>
        <v>0</v>
      </c>
    </row>
    <row r="49" spans="1:33" s="21" customFormat="1" ht="15.6" customHeight="1" x14ac:dyDescent="0.25">
      <c r="A49" s="390"/>
      <c r="B49" s="284" t="s">
        <v>522</v>
      </c>
      <c r="C49" s="603"/>
      <c r="D49" s="604"/>
      <c r="E49" s="282"/>
      <c r="F49" s="4"/>
      <c r="G49" s="283"/>
      <c r="H49" s="651"/>
      <c r="I49" s="651"/>
      <c r="J49" s="286"/>
      <c r="K49" s="286"/>
      <c r="L49" s="1"/>
      <c r="M49" s="2"/>
      <c r="N49" s="159"/>
      <c r="O49" s="70">
        <f t="shared" si="25"/>
        <v>0</v>
      </c>
      <c r="P49" s="70">
        <f t="shared" si="12"/>
        <v>0</v>
      </c>
      <c r="Q49" s="70">
        <f t="shared" si="13"/>
        <v>0</v>
      </c>
      <c r="R49" s="70">
        <f t="shared" si="14"/>
        <v>0</v>
      </c>
      <c r="T49"/>
      <c r="V49" s="176" t="str">
        <f t="shared" si="0"/>
        <v>Podnik 16.</v>
      </c>
      <c r="W49" s="21">
        <f t="shared" si="1"/>
        <v>0</v>
      </c>
      <c r="X49" s="70">
        <f t="shared" si="15"/>
        <v>0</v>
      </c>
      <c r="Y49" s="70">
        <f t="shared" si="16"/>
        <v>0</v>
      </c>
      <c r="Z49" s="70">
        <f t="shared" si="17"/>
        <v>0</v>
      </c>
      <c r="AA49" s="70">
        <f t="shared" si="18"/>
        <v>0</v>
      </c>
      <c r="AB49" s="70">
        <f t="shared" si="19"/>
        <v>0</v>
      </c>
      <c r="AC49" s="70">
        <f t="shared" si="20"/>
        <v>0</v>
      </c>
      <c r="AD49" s="70">
        <f t="shared" si="21"/>
        <v>0</v>
      </c>
      <c r="AE49" s="70">
        <f t="shared" si="22"/>
        <v>0</v>
      </c>
      <c r="AF49" s="70">
        <f t="shared" si="23"/>
        <v>0</v>
      </c>
      <c r="AG49" s="177">
        <f t="shared" si="24"/>
        <v>0</v>
      </c>
    </row>
    <row r="50" spans="1:33" s="21" customFormat="1" ht="15.6" customHeight="1" x14ac:dyDescent="0.25">
      <c r="A50" s="390"/>
      <c r="B50" s="281" t="s">
        <v>523</v>
      </c>
      <c r="C50" s="603"/>
      <c r="D50" s="604"/>
      <c r="E50" s="371"/>
      <c r="F50" s="372"/>
      <c r="G50" s="373"/>
      <c r="H50" s="652"/>
      <c r="I50" s="652"/>
      <c r="J50" s="374"/>
      <c r="K50" s="374"/>
      <c r="L50" s="375"/>
      <c r="M50" s="376"/>
      <c r="N50" s="159"/>
      <c r="O50" s="70">
        <f>IF(OR(E50&lt;&gt;0,F50&lt;&gt;0,G50&lt;&gt;0,J50&lt;&gt;0,K50&lt;&gt;0,L50&lt;&gt;0,M50&lt;&gt;0),1,0)</f>
        <v>0</v>
      </c>
      <c r="P50" s="70">
        <f>IF(AND(C50="",O50=1),1,0)</f>
        <v>0</v>
      </c>
      <c r="Q50" s="70">
        <f>IF(C50=$T$28,1,0)</f>
        <v>0</v>
      </c>
      <c r="R50" s="70">
        <f>IF(C50=$T$30,1,0)</f>
        <v>0</v>
      </c>
      <c r="T50"/>
      <c r="V50" s="176" t="str">
        <f t="shared" si="0"/>
        <v>Podnik 17.</v>
      </c>
      <c r="W50" s="21">
        <f t="shared" si="1"/>
        <v>0</v>
      </c>
      <c r="X50" s="70">
        <f t="shared" si="15"/>
        <v>0</v>
      </c>
      <c r="Y50" s="70">
        <f t="shared" si="16"/>
        <v>0</v>
      </c>
      <c r="Z50" s="70">
        <f t="shared" si="17"/>
        <v>0</v>
      </c>
      <c r="AA50" s="70">
        <f t="shared" si="18"/>
        <v>0</v>
      </c>
      <c r="AB50" s="70">
        <f t="shared" si="19"/>
        <v>0</v>
      </c>
      <c r="AC50" s="70">
        <f t="shared" si="20"/>
        <v>0</v>
      </c>
      <c r="AD50" s="70">
        <f t="shared" si="21"/>
        <v>0</v>
      </c>
      <c r="AE50" s="70">
        <f t="shared" si="22"/>
        <v>0</v>
      </c>
      <c r="AF50" s="70">
        <f t="shared" si="23"/>
        <v>0</v>
      </c>
      <c r="AG50" s="177">
        <f t="shared" si="24"/>
        <v>0</v>
      </c>
    </row>
    <row r="51" spans="1:33" s="21" customFormat="1" ht="15.6" customHeight="1" x14ac:dyDescent="0.25">
      <c r="A51" s="390"/>
      <c r="B51" s="281" t="s">
        <v>524</v>
      </c>
      <c r="C51" s="603"/>
      <c r="D51" s="604"/>
      <c r="E51" s="371"/>
      <c r="F51" s="372"/>
      <c r="G51" s="373"/>
      <c r="H51" s="652"/>
      <c r="I51" s="652"/>
      <c r="J51" s="374"/>
      <c r="K51" s="374"/>
      <c r="L51" s="375"/>
      <c r="M51" s="376"/>
      <c r="N51" s="159"/>
      <c r="O51" s="70">
        <f>IF(OR(E51&lt;&gt;0,F51&lt;&gt;0,G51&lt;&gt;0,J51&lt;&gt;0,K51&lt;&gt;0,L51&lt;&gt;0,M51&lt;&gt;0),1,0)</f>
        <v>0</v>
      </c>
      <c r="P51" s="70">
        <f t="shared" si="12"/>
        <v>0</v>
      </c>
      <c r="Q51" s="70">
        <f t="shared" ref="Q51:Q63" si="26">IF(C51=$T$28,1,0)</f>
        <v>0</v>
      </c>
      <c r="R51" s="70">
        <f t="shared" ref="R51:R63" si="27">IF(C51=$T$30,1,0)</f>
        <v>0</v>
      </c>
      <c r="T51"/>
      <c r="V51" s="176" t="str">
        <f t="shared" si="0"/>
        <v>Podnik 18.</v>
      </c>
      <c r="W51" s="21">
        <f t="shared" si="1"/>
        <v>0</v>
      </c>
      <c r="X51" s="70">
        <f t="shared" ref="X51:X63" si="28">IF(C51=$T$28,E51,0)</f>
        <v>0</v>
      </c>
      <c r="Y51" s="70">
        <f t="shared" ref="Y51:Y63" si="29">IF(C51=$T$30,E51,0)</f>
        <v>0</v>
      </c>
      <c r="Z51" s="70">
        <f t="shared" ref="Z51:Z63" si="30">IF(C51=$T$28,E51,0)</f>
        <v>0</v>
      </c>
      <c r="AA51" s="70">
        <f t="shared" ref="AA51:AA63" si="31">IF(C51=$T$30,J51,0)</f>
        <v>0</v>
      </c>
      <c r="AB51" s="70">
        <f t="shared" ref="AB51:AB63" si="32">IF(C51=$T$28,K51,0)</f>
        <v>0</v>
      </c>
      <c r="AC51" s="70">
        <f t="shared" ref="AC51:AC63" si="33">IF(C51=$T$30,K51,0)</f>
        <v>0</v>
      </c>
      <c r="AD51" s="70">
        <f t="shared" ref="AD51:AD63" si="34">IF(C51=$T$28,L51,0)</f>
        <v>0</v>
      </c>
      <c r="AE51" s="70">
        <f t="shared" ref="AE51:AE63" si="35">IF(C51=$T$30,L51,0)</f>
        <v>0</v>
      </c>
      <c r="AF51" s="70">
        <f t="shared" ref="AF51:AF63" si="36">IF(C51=$T$28,M51,0)</f>
        <v>0</v>
      </c>
      <c r="AG51" s="177">
        <f t="shared" ref="AG51:AG63" si="37">IF(C51=$T$30,M51,0)</f>
        <v>0</v>
      </c>
    </row>
    <row r="52" spans="1:33" s="21" customFormat="1" ht="15.6" customHeight="1" x14ac:dyDescent="0.25">
      <c r="A52" s="390"/>
      <c r="B52" s="281" t="s">
        <v>525</v>
      </c>
      <c r="C52" s="603"/>
      <c r="D52" s="604"/>
      <c r="E52" s="371"/>
      <c r="F52" s="372"/>
      <c r="G52" s="373"/>
      <c r="H52" s="652"/>
      <c r="I52" s="652"/>
      <c r="J52" s="374"/>
      <c r="K52" s="374"/>
      <c r="L52" s="375"/>
      <c r="M52" s="376"/>
      <c r="N52" s="159"/>
      <c r="O52" s="70">
        <f t="shared" ref="O52:O63" si="38">IF(OR(E52&lt;&gt;0,F52&lt;&gt;0,G52&lt;&gt;0,J52&lt;&gt;0,K52&lt;&gt;0,L52&lt;&gt;0,M52&lt;&gt;0),1,0)</f>
        <v>0</v>
      </c>
      <c r="P52" s="70">
        <f t="shared" si="12"/>
        <v>0</v>
      </c>
      <c r="Q52" s="70">
        <f t="shared" si="26"/>
        <v>0</v>
      </c>
      <c r="R52" s="70">
        <f t="shared" si="27"/>
        <v>0</v>
      </c>
      <c r="T52"/>
      <c r="V52" s="176" t="str">
        <f t="shared" si="0"/>
        <v>Podnik 19.</v>
      </c>
      <c r="W52" s="21">
        <f t="shared" si="1"/>
        <v>0</v>
      </c>
      <c r="X52" s="70">
        <f t="shared" si="28"/>
        <v>0</v>
      </c>
      <c r="Y52" s="70">
        <f t="shared" si="29"/>
        <v>0</v>
      </c>
      <c r="Z52" s="70">
        <f t="shared" si="30"/>
        <v>0</v>
      </c>
      <c r="AA52" s="70">
        <f t="shared" si="31"/>
        <v>0</v>
      </c>
      <c r="AB52" s="70">
        <f t="shared" si="32"/>
        <v>0</v>
      </c>
      <c r="AC52" s="70">
        <f t="shared" si="33"/>
        <v>0</v>
      </c>
      <c r="AD52" s="70">
        <f t="shared" si="34"/>
        <v>0</v>
      </c>
      <c r="AE52" s="70">
        <f t="shared" si="35"/>
        <v>0</v>
      </c>
      <c r="AF52" s="70">
        <f t="shared" si="36"/>
        <v>0</v>
      </c>
      <c r="AG52" s="177">
        <f t="shared" si="37"/>
        <v>0</v>
      </c>
    </row>
    <row r="53" spans="1:33" s="21" customFormat="1" ht="15.6" customHeight="1" x14ac:dyDescent="0.25">
      <c r="A53" s="390"/>
      <c r="B53" s="281" t="s">
        <v>526</v>
      </c>
      <c r="C53" s="603"/>
      <c r="D53" s="604"/>
      <c r="E53" s="371"/>
      <c r="F53" s="372"/>
      <c r="G53" s="373"/>
      <c r="H53" s="652"/>
      <c r="I53" s="652"/>
      <c r="J53" s="374"/>
      <c r="K53" s="374"/>
      <c r="L53" s="375"/>
      <c r="M53" s="376"/>
      <c r="N53" s="159"/>
      <c r="O53" s="70">
        <f t="shared" si="38"/>
        <v>0</v>
      </c>
      <c r="P53" s="70">
        <f t="shared" si="12"/>
        <v>0</v>
      </c>
      <c r="Q53" s="70">
        <f t="shared" si="26"/>
        <v>0</v>
      </c>
      <c r="R53" s="70">
        <f t="shared" si="27"/>
        <v>0</v>
      </c>
      <c r="T53"/>
      <c r="V53" s="176" t="str">
        <f t="shared" si="0"/>
        <v>Podnik 20.</v>
      </c>
      <c r="W53" s="21">
        <f t="shared" si="1"/>
        <v>0</v>
      </c>
      <c r="X53" s="70">
        <f t="shared" si="28"/>
        <v>0</v>
      </c>
      <c r="Y53" s="70">
        <f t="shared" si="29"/>
        <v>0</v>
      </c>
      <c r="Z53" s="70">
        <f t="shared" si="30"/>
        <v>0</v>
      </c>
      <c r="AA53" s="70">
        <f t="shared" si="31"/>
        <v>0</v>
      </c>
      <c r="AB53" s="70">
        <f t="shared" si="32"/>
        <v>0</v>
      </c>
      <c r="AC53" s="70">
        <f t="shared" si="33"/>
        <v>0</v>
      </c>
      <c r="AD53" s="70">
        <f t="shared" si="34"/>
        <v>0</v>
      </c>
      <c r="AE53" s="70">
        <f t="shared" si="35"/>
        <v>0</v>
      </c>
      <c r="AF53" s="70">
        <f t="shared" si="36"/>
        <v>0</v>
      </c>
      <c r="AG53" s="177">
        <f t="shared" si="37"/>
        <v>0</v>
      </c>
    </row>
    <row r="54" spans="1:33" s="21" customFormat="1" ht="15.6" hidden="1" customHeight="1" x14ac:dyDescent="0.25">
      <c r="A54" s="390"/>
      <c r="B54" s="281" t="s">
        <v>527</v>
      </c>
      <c r="C54" s="603"/>
      <c r="D54" s="604"/>
      <c r="E54" s="371"/>
      <c r="F54" s="372"/>
      <c r="G54" s="373"/>
      <c r="H54" s="652"/>
      <c r="I54" s="652"/>
      <c r="J54" s="374"/>
      <c r="K54" s="374"/>
      <c r="L54" s="375"/>
      <c r="M54" s="376"/>
      <c r="N54" s="159"/>
      <c r="O54" s="70">
        <f>IF(OR(E54&lt;&gt;0,F54&lt;&gt;0,G54&lt;&gt;0,J54&lt;&gt;0,K54&lt;&gt;0,L54&lt;&gt;0,M54&lt;&gt;0),1,0)</f>
        <v>0</v>
      </c>
      <c r="P54" s="70">
        <f t="shared" si="12"/>
        <v>0</v>
      </c>
      <c r="Q54" s="70">
        <f t="shared" si="26"/>
        <v>0</v>
      </c>
      <c r="R54" s="70">
        <f t="shared" si="27"/>
        <v>0</v>
      </c>
      <c r="T54"/>
      <c r="V54" s="176" t="str">
        <f t="shared" si="0"/>
        <v>Podnik 21.</v>
      </c>
      <c r="W54" s="21">
        <f t="shared" si="1"/>
        <v>0</v>
      </c>
      <c r="X54" s="70">
        <f t="shared" si="28"/>
        <v>0</v>
      </c>
      <c r="Y54" s="70">
        <f t="shared" si="29"/>
        <v>0</v>
      </c>
      <c r="Z54" s="70">
        <f t="shared" si="30"/>
        <v>0</v>
      </c>
      <c r="AA54" s="70">
        <f t="shared" si="31"/>
        <v>0</v>
      </c>
      <c r="AB54" s="70">
        <f t="shared" si="32"/>
        <v>0</v>
      </c>
      <c r="AC54" s="70">
        <f t="shared" si="33"/>
        <v>0</v>
      </c>
      <c r="AD54" s="70">
        <f t="shared" si="34"/>
        <v>0</v>
      </c>
      <c r="AE54" s="70">
        <f t="shared" si="35"/>
        <v>0</v>
      </c>
      <c r="AF54" s="70">
        <f t="shared" si="36"/>
        <v>0</v>
      </c>
      <c r="AG54" s="177">
        <f t="shared" si="37"/>
        <v>0</v>
      </c>
    </row>
    <row r="55" spans="1:33" s="21" customFormat="1" ht="15.6" hidden="1" customHeight="1" x14ac:dyDescent="0.25">
      <c r="A55" s="390"/>
      <c r="B55" s="281" t="s">
        <v>528</v>
      </c>
      <c r="C55" s="603"/>
      <c r="D55" s="604"/>
      <c r="E55" s="371"/>
      <c r="F55" s="372"/>
      <c r="G55" s="373"/>
      <c r="H55" s="652"/>
      <c r="I55" s="652"/>
      <c r="J55" s="374"/>
      <c r="K55" s="374"/>
      <c r="L55" s="375"/>
      <c r="M55" s="376"/>
      <c r="N55" s="159"/>
      <c r="O55" s="70">
        <f t="shared" si="38"/>
        <v>0</v>
      </c>
      <c r="P55" s="70">
        <f>IF(AND(C55="",O55=1),1,0)</f>
        <v>0</v>
      </c>
      <c r="Q55" s="70">
        <f t="shared" si="26"/>
        <v>0</v>
      </c>
      <c r="R55" s="70">
        <f t="shared" si="27"/>
        <v>0</v>
      </c>
      <c r="T55"/>
      <c r="V55" s="176" t="str">
        <f t="shared" si="0"/>
        <v>Podnik 22.</v>
      </c>
      <c r="W55" s="21">
        <f t="shared" si="1"/>
        <v>0</v>
      </c>
      <c r="X55" s="70">
        <f t="shared" si="28"/>
        <v>0</v>
      </c>
      <c r="Y55" s="70">
        <f t="shared" si="29"/>
        <v>0</v>
      </c>
      <c r="Z55" s="70">
        <f t="shared" si="30"/>
        <v>0</v>
      </c>
      <c r="AA55" s="70">
        <f t="shared" si="31"/>
        <v>0</v>
      </c>
      <c r="AB55" s="70">
        <f t="shared" si="32"/>
        <v>0</v>
      </c>
      <c r="AC55" s="70">
        <f t="shared" si="33"/>
        <v>0</v>
      </c>
      <c r="AD55" s="70">
        <f t="shared" si="34"/>
        <v>0</v>
      </c>
      <c r="AE55" s="70">
        <f t="shared" si="35"/>
        <v>0</v>
      </c>
      <c r="AF55" s="70">
        <f t="shared" si="36"/>
        <v>0</v>
      </c>
      <c r="AG55" s="177">
        <f t="shared" si="37"/>
        <v>0</v>
      </c>
    </row>
    <row r="56" spans="1:33" s="21" customFormat="1" ht="15.6" hidden="1" customHeight="1" x14ac:dyDescent="0.25">
      <c r="A56" s="390"/>
      <c r="B56" s="281" t="s">
        <v>529</v>
      </c>
      <c r="C56" s="603"/>
      <c r="D56" s="604"/>
      <c r="E56" s="371"/>
      <c r="F56" s="372"/>
      <c r="G56" s="373"/>
      <c r="H56" s="652"/>
      <c r="I56" s="652"/>
      <c r="J56" s="374"/>
      <c r="K56" s="374"/>
      <c r="L56" s="375"/>
      <c r="M56" s="376"/>
      <c r="N56" s="159"/>
      <c r="O56" s="70">
        <f t="shared" si="38"/>
        <v>0</v>
      </c>
      <c r="P56" s="70">
        <f t="shared" si="12"/>
        <v>0</v>
      </c>
      <c r="Q56" s="70">
        <f t="shared" si="26"/>
        <v>0</v>
      </c>
      <c r="R56" s="70">
        <f t="shared" si="27"/>
        <v>0</v>
      </c>
      <c r="T56"/>
      <c r="V56" s="176" t="str">
        <f t="shared" si="0"/>
        <v>Podnik 23.</v>
      </c>
      <c r="W56" s="21">
        <f t="shared" si="1"/>
        <v>0</v>
      </c>
      <c r="X56" s="70">
        <f t="shared" si="28"/>
        <v>0</v>
      </c>
      <c r="Y56" s="70">
        <f t="shared" si="29"/>
        <v>0</v>
      </c>
      <c r="Z56" s="70">
        <f t="shared" si="30"/>
        <v>0</v>
      </c>
      <c r="AA56" s="70">
        <f t="shared" si="31"/>
        <v>0</v>
      </c>
      <c r="AB56" s="70">
        <f t="shared" si="32"/>
        <v>0</v>
      </c>
      <c r="AC56" s="70">
        <f t="shared" si="33"/>
        <v>0</v>
      </c>
      <c r="AD56" s="70">
        <f t="shared" si="34"/>
        <v>0</v>
      </c>
      <c r="AE56" s="70">
        <f t="shared" si="35"/>
        <v>0</v>
      </c>
      <c r="AF56" s="70">
        <f t="shared" si="36"/>
        <v>0</v>
      </c>
      <c r="AG56" s="177">
        <f t="shared" si="37"/>
        <v>0</v>
      </c>
    </row>
    <row r="57" spans="1:33" s="21" customFormat="1" ht="15.6" hidden="1" customHeight="1" x14ac:dyDescent="0.25">
      <c r="A57" s="390"/>
      <c r="B57" s="281" t="s">
        <v>530</v>
      </c>
      <c r="C57" s="603"/>
      <c r="D57" s="604"/>
      <c r="E57" s="371"/>
      <c r="F57" s="372"/>
      <c r="G57" s="373"/>
      <c r="H57" s="652"/>
      <c r="I57" s="652"/>
      <c r="J57" s="374"/>
      <c r="K57" s="374"/>
      <c r="L57" s="375"/>
      <c r="M57" s="376"/>
      <c r="N57" s="159"/>
      <c r="O57" s="70">
        <f t="shared" si="38"/>
        <v>0</v>
      </c>
      <c r="P57" s="70">
        <f t="shared" si="12"/>
        <v>0</v>
      </c>
      <c r="Q57" s="70">
        <f t="shared" si="26"/>
        <v>0</v>
      </c>
      <c r="R57" s="70">
        <f t="shared" si="27"/>
        <v>0</v>
      </c>
      <c r="T57"/>
      <c r="V57" s="176" t="str">
        <f t="shared" si="0"/>
        <v>Podnik 24.</v>
      </c>
      <c r="W57" s="21">
        <f t="shared" si="1"/>
        <v>0</v>
      </c>
      <c r="X57" s="70">
        <f t="shared" si="28"/>
        <v>0</v>
      </c>
      <c r="Y57" s="70">
        <f t="shared" si="29"/>
        <v>0</v>
      </c>
      <c r="Z57" s="70">
        <f t="shared" si="30"/>
        <v>0</v>
      </c>
      <c r="AA57" s="70">
        <f t="shared" si="31"/>
        <v>0</v>
      </c>
      <c r="AB57" s="70">
        <f t="shared" si="32"/>
        <v>0</v>
      </c>
      <c r="AC57" s="70">
        <f t="shared" si="33"/>
        <v>0</v>
      </c>
      <c r="AD57" s="70">
        <f t="shared" si="34"/>
        <v>0</v>
      </c>
      <c r="AE57" s="70">
        <f t="shared" si="35"/>
        <v>0</v>
      </c>
      <c r="AF57" s="70">
        <f t="shared" si="36"/>
        <v>0</v>
      </c>
      <c r="AG57" s="177">
        <f t="shared" si="37"/>
        <v>0</v>
      </c>
    </row>
    <row r="58" spans="1:33" s="21" customFormat="1" ht="15.6" hidden="1" customHeight="1" x14ac:dyDescent="0.25">
      <c r="A58" s="390"/>
      <c r="B58" s="281" t="s">
        <v>531</v>
      </c>
      <c r="C58" s="603"/>
      <c r="D58" s="604"/>
      <c r="E58" s="371"/>
      <c r="F58" s="372"/>
      <c r="G58" s="373"/>
      <c r="H58" s="652"/>
      <c r="I58" s="652"/>
      <c r="J58" s="374"/>
      <c r="K58" s="374"/>
      <c r="L58" s="375"/>
      <c r="M58" s="376"/>
      <c r="N58" s="159"/>
      <c r="O58" s="70">
        <f t="shared" si="38"/>
        <v>0</v>
      </c>
      <c r="P58" s="70">
        <f t="shared" si="12"/>
        <v>0</v>
      </c>
      <c r="Q58" s="70">
        <f t="shared" si="26"/>
        <v>0</v>
      </c>
      <c r="R58" s="70">
        <f t="shared" si="27"/>
        <v>0</v>
      </c>
      <c r="T58"/>
      <c r="V58" s="176" t="str">
        <f t="shared" si="0"/>
        <v>Podnik 25.</v>
      </c>
      <c r="W58" s="21">
        <f t="shared" si="1"/>
        <v>0</v>
      </c>
      <c r="X58" s="70">
        <f t="shared" si="28"/>
        <v>0</v>
      </c>
      <c r="Y58" s="70">
        <f t="shared" si="29"/>
        <v>0</v>
      </c>
      <c r="Z58" s="70">
        <f t="shared" si="30"/>
        <v>0</v>
      </c>
      <c r="AA58" s="70">
        <f t="shared" si="31"/>
        <v>0</v>
      </c>
      <c r="AB58" s="70">
        <f t="shared" si="32"/>
        <v>0</v>
      </c>
      <c r="AC58" s="70">
        <f t="shared" si="33"/>
        <v>0</v>
      </c>
      <c r="AD58" s="70">
        <f t="shared" si="34"/>
        <v>0</v>
      </c>
      <c r="AE58" s="70">
        <f t="shared" si="35"/>
        <v>0</v>
      </c>
      <c r="AF58" s="70">
        <f t="shared" si="36"/>
        <v>0</v>
      </c>
      <c r="AG58" s="177">
        <f t="shared" si="37"/>
        <v>0</v>
      </c>
    </row>
    <row r="59" spans="1:33" s="21" customFormat="1" ht="15.6" hidden="1" customHeight="1" x14ac:dyDescent="0.25">
      <c r="A59" s="390"/>
      <c r="B59" s="281" t="s">
        <v>532</v>
      </c>
      <c r="C59" s="603"/>
      <c r="D59" s="604"/>
      <c r="E59" s="371"/>
      <c r="F59" s="372"/>
      <c r="G59" s="373"/>
      <c r="H59" s="652"/>
      <c r="I59" s="652"/>
      <c r="J59" s="374"/>
      <c r="K59" s="374"/>
      <c r="L59" s="375"/>
      <c r="M59" s="376"/>
      <c r="N59" s="159"/>
      <c r="O59" s="70">
        <f t="shared" si="38"/>
        <v>0</v>
      </c>
      <c r="P59" s="70">
        <f t="shared" si="12"/>
        <v>0</v>
      </c>
      <c r="Q59" s="70">
        <f t="shared" si="26"/>
        <v>0</v>
      </c>
      <c r="R59" s="70">
        <f t="shared" si="27"/>
        <v>0</v>
      </c>
      <c r="T59"/>
      <c r="V59" s="176" t="str">
        <f t="shared" si="0"/>
        <v>Podnik 26.</v>
      </c>
      <c r="W59" s="21">
        <f t="shared" si="1"/>
        <v>0</v>
      </c>
      <c r="X59" s="70">
        <f t="shared" si="28"/>
        <v>0</v>
      </c>
      <c r="Y59" s="70">
        <f t="shared" si="29"/>
        <v>0</v>
      </c>
      <c r="Z59" s="70">
        <f t="shared" si="30"/>
        <v>0</v>
      </c>
      <c r="AA59" s="70">
        <f t="shared" si="31"/>
        <v>0</v>
      </c>
      <c r="AB59" s="70">
        <f t="shared" si="32"/>
        <v>0</v>
      </c>
      <c r="AC59" s="70">
        <f t="shared" si="33"/>
        <v>0</v>
      </c>
      <c r="AD59" s="70">
        <f t="shared" si="34"/>
        <v>0</v>
      </c>
      <c r="AE59" s="70">
        <f t="shared" si="35"/>
        <v>0</v>
      </c>
      <c r="AF59" s="70">
        <f t="shared" si="36"/>
        <v>0</v>
      </c>
      <c r="AG59" s="177">
        <f t="shared" si="37"/>
        <v>0</v>
      </c>
    </row>
    <row r="60" spans="1:33" s="21" customFormat="1" ht="15.6" hidden="1" customHeight="1" x14ac:dyDescent="0.25">
      <c r="A60" s="390"/>
      <c r="B60" s="281" t="s">
        <v>533</v>
      </c>
      <c r="C60" s="603"/>
      <c r="D60" s="604"/>
      <c r="E60" s="371"/>
      <c r="F60" s="372"/>
      <c r="G60" s="373"/>
      <c r="H60" s="652"/>
      <c r="I60" s="652"/>
      <c r="J60" s="374"/>
      <c r="K60" s="374"/>
      <c r="L60" s="375"/>
      <c r="M60" s="376"/>
      <c r="N60" s="159"/>
      <c r="O60" s="70">
        <f t="shared" si="38"/>
        <v>0</v>
      </c>
      <c r="P60" s="70">
        <f t="shared" si="12"/>
        <v>0</v>
      </c>
      <c r="Q60" s="70">
        <f t="shared" si="26"/>
        <v>0</v>
      </c>
      <c r="R60" s="70">
        <f t="shared" si="27"/>
        <v>0</v>
      </c>
      <c r="T60"/>
      <c r="V60" s="176" t="str">
        <f t="shared" si="0"/>
        <v>Podnik 27.</v>
      </c>
      <c r="W60" s="21">
        <f t="shared" si="1"/>
        <v>0</v>
      </c>
      <c r="X60" s="70">
        <f t="shared" si="28"/>
        <v>0</v>
      </c>
      <c r="Y60" s="70">
        <f t="shared" si="29"/>
        <v>0</v>
      </c>
      <c r="Z60" s="70">
        <f t="shared" si="30"/>
        <v>0</v>
      </c>
      <c r="AA60" s="70">
        <f t="shared" si="31"/>
        <v>0</v>
      </c>
      <c r="AB60" s="70">
        <f t="shared" si="32"/>
        <v>0</v>
      </c>
      <c r="AC60" s="70">
        <f t="shared" si="33"/>
        <v>0</v>
      </c>
      <c r="AD60" s="70">
        <f t="shared" si="34"/>
        <v>0</v>
      </c>
      <c r="AE60" s="70">
        <f t="shared" si="35"/>
        <v>0</v>
      </c>
      <c r="AF60" s="70">
        <f t="shared" si="36"/>
        <v>0</v>
      </c>
      <c r="AG60" s="177">
        <f t="shared" si="37"/>
        <v>0</v>
      </c>
    </row>
    <row r="61" spans="1:33" s="21" customFormat="1" ht="15.6" hidden="1" customHeight="1" x14ac:dyDescent="0.25">
      <c r="A61" s="390"/>
      <c r="B61" s="281" t="s">
        <v>534</v>
      </c>
      <c r="C61" s="603"/>
      <c r="D61" s="604"/>
      <c r="E61" s="371"/>
      <c r="F61" s="372"/>
      <c r="G61" s="373"/>
      <c r="H61" s="652"/>
      <c r="I61" s="652"/>
      <c r="J61" s="374"/>
      <c r="K61" s="374"/>
      <c r="L61" s="375"/>
      <c r="M61" s="376"/>
      <c r="N61" s="159"/>
      <c r="O61" s="70">
        <f t="shared" si="38"/>
        <v>0</v>
      </c>
      <c r="P61" s="70">
        <f t="shared" si="12"/>
        <v>0</v>
      </c>
      <c r="Q61" s="70">
        <f t="shared" si="26"/>
        <v>0</v>
      </c>
      <c r="R61" s="70">
        <f t="shared" si="27"/>
        <v>0</v>
      </c>
      <c r="T61"/>
      <c r="V61" s="176" t="str">
        <f t="shared" si="0"/>
        <v>Podnik 28.</v>
      </c>
      <c r="W61" s="21">
        <f t="shared" si="1"/>
        <v>0</v>
      </c>
      <c r="X61" s="70">
        <f t="shared" si="28"/>
        <v>0</v>
      </c>
      <c r="Y61" s="70">
        <f t="shared" si="29"/>
        <v>0</v>
      </c>
      <c r="Z61" s="70">
        <f t="shared" si="30"/>
        <v>0</v>
      </c>
      <c r="AA61" s="70">
        <f t="shared" si="31"/>
        <v>0</v>
      </c>
      <c r="AB61" s="70">
        <f t="shared" si="32"/>
        <v>0</v>
      </c>
      <c r="AC61" s="70">
        <f t="shared" si="33"/>
        <v>0</v>
      </c>
      <c r="AD61" s="70">
        <f t="shared" si="34"/>
        <v>0</v>
      </c>
      <c r="AE61" s="70">
        <f t="shared" si="35"/>
        <v>0</v>
      </c>
      <c r="AF61" s="70">
        <f t="shared" si="36"/>
        <v>0</v>
      </c>
      <c r="AG61" s="177">
        <f t="shared" si="37"/>
        <v>0</v>
      </c>
    </row>
    <row r="62" spans="1:33" s="21" customFormat="1" ht="15.6" hidden="1" customHeight="1" x14ac:dyDescent="0.25">
      <c r="A62" s="390"/>
      <c r="B62" s="281" t="s">
        <v>535</v>
      </c>
      <c r="C62" s="603"/>
      <c r="D62" s="604"/>
      <c r="E62" s="371"/>
      <c r="F62" s="372"/>
      <c r="G62" s="373"/>
      <c r="H62" s="652"/>
      <c r="I62" s="652"/>
      <c r="J62" s="374"/>
      <c r="K62" s="374"/>
      <c r="L62" s="375"/>
      <c r="M62" s="376"/>
      <c r="N62" s="159"/>
      <c r="O62" s="70">
        <f t="shared" si="38"/>
        <v>0</v>
      </c>
      <c r="P62" s="70">
        <f t="shared" si="12"/>
        <v>0</v>
      </c>
      <c r="Q62" s="70">
        <f t="shared" si="26"/>
        <v>0</v>
      </c>
      <c r="R62" s="70">
        <f t="shared" si="27"/>
        <v>0</v>
      </c>
      <c r="T62"/>
      <c r="V62" s="176" t="str">
        <f t="shared" si="0"/>
        <v>Podnik 29.</v>
      </c>
      <c r="W62" s="21">
        <f t="shared" si="1"/>
        <v>0</v>
      </c>
      <c r="X62" s="70">
        <f t="shared" si="28"/>
        <v>0</v>
      </c>
      <c r="Y62" s="70">
        <f t="shared" si="29"/>
        <v>0</v>
      </c>
      <c r="Z62" s="70">
        <f t="shared" si="30"/>
        <v>0</v>
      </c>
      <c r="AA62" s="70">
        <f t="shared" si="31"/>
        <v>0</v>
      </c>
      <c r="AB62" s="70">
        <f t="shared" si="32"/>
        <v>0</v>
      </c>
      <c r="AC62" s="70">
        <f t="shared" si="33"/>
        <v>0</v>
      </c>
      <c r="AD62" s="70">
        <f t="shared" si="34"/>
        <v>0</v>
      </c>
      <c r="AE62" s="70">
        <f t="shared" si="35"/>
        <v>0</v>
      </c>
      <c r="AF62" s="70">
        <f t="shared" si="36"/>
        <v>0</v>
      </c>
      <c r="AG62" s="177">
        <f t="shared" si="37"/>
        <v>0</v>
      </c>
    </row>
    <row r="63" spans="1:33" s="21" customFormat="1" ht="15.6" hidden="1" customHeight="1" x14ac:dyDescent="0.25">
      <c r="A63" s="390"/>
      <c r="B63" s="281" t="s">
        <v>536</v>
      </c>
      <c r="C63" s="603"/>
      <c r="D63" s="604"/>
      <c r="E63" s="371"/>
      <c r="F63" s="372"/>
      <c r="G63" s="373"/>
      <c r="H63" s="652"/>
      <c r="I63" s="652"/>
      <c r="J63" s="374"/>
      <c r="K63" s="374"/>
      <c r="L63" s="375"/>
      <c r="M63" s="376"/>
      <c r="N63" s="159"/>
      <c r="O63" s="70">
        <f t="shared" si="38"/>
        <v>0</v>
      </c>
      <c r="P63" s="70">
        <f t="shared" si="12"/>
        <v>0</v>
      </c>
      <c r="Q63" s="70">
        <f t="shared" si="26"/>
        <v>0</v>
      </c>
      <c r="R63" s="70">
        <f t="shared" si="27"/>
        <v>0</v>
      </c>
      <c r="T63"/>
      <c r="V63" s="176" t="str">
        <f t="shared" si="0"/>
        <v>Podnik 30.</v>
      </c>
      <c r="W63" s="21">
        <f t="shared" si="1"/>
        <v>0</v>
      </c>
      <c r="X63" s="70">
        <f t="shared" si="28"/>
        <v>0</v>
      </c>
      <c r="Y63" s="70">
        <f t="shared" si="29"/>
        <v>0</v>
      </c>
      <c r="Z63" s="70">
        <f t="shared" si="30"/>
        <v>0</v>
      </c>
      <c r="AA63" s="70">
        <f t="shared" si="31"/>
        <v>0</v>
      </c>
      <c r="AB63" s="70">
        <f t="shared" si="32"/>
        <v>0</v>
      </c>
      <c r="AC63" s="70">
        <f t="shared" si="33"/>
        <v>0</v>
      </c>
      <c r="AD63" s="70">
        <f t="shared" si="34"/>
        <v>0</v>
      </c>
      <c r="AE63" s="70">
        <f t="shared" si="35"/>
        <v>0</v>
      </c>
      <c r="AF63" s="70">
        <f t="shared" si="36"/>
        <v>0</v>
      </c>
      <c r="AG63" s="177">
        <f t="shared" si="37"/>
        <v>0</v>
      </c>
    </row>
    <row r="64" spans="1:33" s="21" customFormat="1" ht="15.6" customHeight="1" thickBot="1" x14ac:dyDescent="0.3">
      <c r="A64" s="390"/>
      <c r="B64" s="754" t="s">
        <v>73</v>
      </c>
      <c r="C64" s="755"/>
      <c r="D64" s="756"/>
      <c r="E64" s="178">
        <f>SUM(E34:E63)</f>
        <v>0</v>
      </c>
      <c r="F64" s="179">
        <f>SUM(F34:F63)</f>
        <v>0</v>
      </c>
      <c r="G64" s="179">
        <f>SUM(G34:G63)</f>
        <v>0</v>
      </c>
      <c r="H64" s="653"/>
      <c r="I64" s="653"/>
      <c r="J64" s="179">
        <f>SUM(J34:J63)</f>
        <v>0</v>
      </c>
      <c r="K64" s="179">
        <f>SUM(K34:K63)</f>
        <v>0</v>
      </c>
      <c r="L64" s="179">
        <f>SUM(L34:L63)</f>
        <v>0</v>
      </c>
      <c r="M64" s="180">
        <f>SUM(M34:M63)</f>
        <v>0</v>
      </c>
      <c r="N64" s="159"/>
      <c r="O64"/>
      <c r="P64" s="181">
        <f>SUM(P34:P63)</f>
        <v>0</v>
      </c>
      <c r="Q64"/>
      <c r="R64"/>
      <c r="S64"/>
      <c r="T64"/>
    </row>
    <row r="65" spans="1:33" ht="16.5" thickBot="1" x14ac:dyDescent="0.3">
      <c r="A65" s="390"/>
      <c r="B65" s="160"/>
      <c r="C65" s="656" t="str">
        <f>IF(P64&gt;0,"Ve výše uvedené tabulce je nutné vybrat rok!","")</f>
        <v/>
      </c>
      <c r="D65" s="656"/>
      <c r="E65" s="656"/>
      <c r="F65" s="656"/>
      <c r="G65" s="656"/>
      <c r="H65" s="163"/>
      <c r="I65" s="163"/>
      <c r="J65" s="163"/>
      <c r="K65" s="163"/>
      <c r="L65" s="161"/>
      <c r="M65" s="161"/>
      <c r="N65" s="161"/>
      <c r="S65"/>
    </row>
    <row r="66" spans="1:33" ht="20.25" customHeight="1" x14ac:dyDescent="0.25">
      <c r="A66" s="390"/>
      <c r="B66" s="600" t="str">
        <f>IF($E$12="ANO","NEVYPLŇUJE SE. (Tuto tabulku vyplňuje pouze VELKÝ podnikatel.)","Obchodní jméno podniku")</f>
        <v>Obchodní jméno podniku</v>
      </c>
      <c r="C66" s="591" t="s">
        <v>403</v>
      </c>
      <c r="D66" s="592"/>
      <c r="E66" s="623" t="s">
        <v>86</v>
      </c>
      <c r="F66" s="624"/>
      <c r="G66" s="624"/>
      <c r="H66" s="624"/>
      <c r="I66" s="624"/>
      <c r="J66" s="624"/>
      <c r="K66" s="621" t="s">
        <v>87</v>
      </c>
      <c r="L66" s="621"/>
      <c r="M66" s="622"/>
      <c r="N66" s="161"/>
      <c r="S66"/>
    </row>
    <row r="67" spans="1:33" ht="56.25" customHeight="1" x14ac:dyDescent="0.25">
      <c r="A67" s="390"/>
      <c r="B67" s="601"/>
      <c r="C67" s="593"/>
      <c r="D67" s="594"/>
      <c r="E67" s="182" t="s">
        <v>15</v>
      </c>
      <c r="F67" s="183" t="s">
        <v>30</v>
      </c>
      <c r="G67" s="183" t="s">
        <v>72</v>
      </c>
      <c r="H67" s="183" t="s">
        <v>83</v>
      </c>
      <c r="I67" s="183" t="s">
        <v>81</v>
      </c>
      <c r="J67" s="183" t="s">
        <v>99</v>
      </c>
      <c r="K67" s="171" t="s">
        <v>23</v>
      </c>
      <c r="L67" s="171" t="s">
        <v>25</v>
      </c>
      <c r="M67" s="172" t="s">
        <v>82</v>
      </c>
      <c r="N67" s="161"/>
      <c r="S67"/>
    </row>
    <row r="68" spans="1:33" ht="18.75" customHeight="1" thickBot="1" x14ac:dyDescent="0.3">
      <c r="A68" s="390"/>
      <c r="B68" s="602"/>
      <c r="C68" s="595"/>
      <c r="D68" s="596"/>
      <c r="E68" s="608" t="str">
        <f>E33</f>
        <v>Uveďte údaje z konsolidované účetní závěrky, je-li k dispozici.</v>
      </c>
      <c r="F68" s="609"/>
      <c r="G68" s="609"/>
      <c r="H68" s="609"/>
      <c r="I68" s="609"/>
      <c r="J68" s="609"/>
      <c r="K68" s="609"/>
      <c r="L68" s="609"/>
      <c r="M68" s="610"/>
      <c r="N68" s="161"/>
      <c r="S68"/>
      <c r="T68" s="155"/>
    </row>
    <row r="69" spans="1:33" ht="15.6" customHeight="1" x14ac:dyDescent="0.25">
      <c r="A69" s="390"/>
      <c r="B69" s="377" t="str">
        <f>IF(B34="Podnik 1.","Vyplní se automaticky",IF(B34="","",B34))</f>
        <v>Vyplní se automaticky</v>
      </c>
      <c r="C69" s="659" t="str">
        <f>IF(C34&gt;20,C34-1,"Vyplní se automaticky")</f>
        <v>Vyplní se automaticky</v>
      </c>
      <c r="D69" s="660"/>
      <c r="E69" s="378"/>
      <c r="F69" s="639" t="s">
        <v>84</v>
      </c>
      <c r="G69" s="640"/>
      <c r="H69" s="640"/>
      <c r="I69" s="641"/>
      <c r="J69" s="379"/>
      <c r="K69" s="379"/>
      <c r="L69" s="279"/>
      <c r="M69" s="285"/>
      <c r="N69" s="161"/>
      <c r="S69"/>
      <c r="T69" s="155"/>
      <c r="X69"/>
      <c r="Y69" s="70">
        <f t="shared" ref="Y69" si="39">IF(C69=$T$30,E69,0)</f>
        <v>0</v>
      </c>
      <c r="AA69" s="185">
        <f t="shared" ref="AA69" si="40">IF(C69=$T$30,J69,0)</f>
        <v>0</v>
      </c>
      <c r="AC69" s="185">
        <f t="shared" ref="AC69" si="41">IF(C69=$T$30,K69,0)</f>
        <v>0</v>
      </c>
      <c r="AE69" s="185">
        <f t="shared" ref="AE69" si="42">IF(C69=$T$30,L69,0)</f>
        <v>0</v>
      </c>
      <c r="AG69" s="185">
        <f t="shared" ref="AG69" si="43">IF(C69=$T$30,M69,0)</f>
        <v>0</v>
      </c>
    </row>
    <row r="70" spans="1:33" ht="15.6" customHeight="1" x14ac:dyDescent="0.25">
      <c r="A70" s="390"/>
      <c r="B70" s="184" t="str">
        <f>IF(OR(B35="Podnik 2.",B35=""),"",B35)</f>
        <v/>
      </c>
      <c r="C70" s="580" t="str">
        <f t="shared" ref="C70:C84" si="44">IF(C35&gt;20,C35-1,"")</f>
        <v/>
      </c>
      <c r="D70" s="581"/>
      <c r="E70" s="287"/>
      <c r="F70" s="642"/>
      <c r="G70" s="643"/>
      <c r="H70" s="643"/>
      <c r="I70" s="644"/>
      <c r="J70" s="286"/>
      <c r="K70" s="286"/>
      <c r="L70" s="1"/>
      <c r="M70" s="2"/>
      <c r="N70" s="161"/>
      <c r="S70"/>
      <c r="T70" s="155"/>
      <c r="X70"/>
      <c r="Y70" s="70">
        <f t="shared" ref="Y70:Y85" si="45">IF(C70=$T$30,E70,0)</f>
        <v>0</v>
      </c>
      <c r="AA70" s="185">
        <f t="shared" ref="AA70:AA85" si="46">IF(C70=$T$30,J70,0)</f>
        <v>0</v>
      </c>
      <c r="AC70" s="185">
        <f t="shared" ref="AC70:AC85" si="47">IF(C70=$T$30,K70,0)</f>
        <v>0</v>
      </c>
      <c r="AE70" s="185">
        <f t="shared" ref="AE70:AE85" si="48">IF(C70=$T$30,L70,0)</f>
        <v>0</v>
      </c>
      <c r="AG70" s="185">
        <f t="shared" ref="AG70:AG85" si="49">IF(C70=$T$30,M70,0)</f>
        <v>0</v>
      </c>
    </row>
    <row r="71" spans="1:33" ht="15.6" customHeight="1" x14ac:dyDescent="0.25">
      <c r="A71" s="390"/>
      <c r="B71" s="184" t="str">
        <f>IF(OR(B36="Podnik 3.",B36=""),"",B36)</f>
        <v/>
      </c>
      <c r="C71" s="580" t="str">
        <f t="shared" si="44"/>
        <v/>
      </c>
      <c r="D71" s="581"/>
      <c r="E71" s="287"/>
      <c r="F71" s="642"/>
      <c r="G71" s="643"/>
      <c r="H71" s="643"/>
      <c r="I71" s="644"/>
      <c r="J71" s="286"/>
      <c r="K71" s="286"/>
      <c r="L71" s="1"/>
      <c r="M71" s="2"/>
      <c r="N71" s="161"/>
      <c r="S71"/>
      <c r="T71" s="155"/>
      <c r="X71"/>
      <c r="Y71" s="70">
        <f t="shared" si="45"/>
        <v>0</v>
      </c>
      <c r="AA71" s="185">
        <f t="shared" si="46"/>
        <v>0</v>
      </c>
      <c r="AC71" s="185">
        <f t="shared" si="47"/>
        <v>0</v>
      </c>
      <c r="AE71" s="185">
        <f t="shared" si="48"/>
        <v>0</v>
      </c>
      <c r="AG71" s="185">
        <f t="shared" si="49"/>
        <v>0</v>
      </c>
    </row>
    <row r="72" spans="1:33" ht="15.6" customHeight="1" x14ac:dyDescent="0.25">
      <c r="A72" s="390"/>
      <c r="B72" s="184" t="str">
        <f>IF(OR(B37="Podnik 4.",B37=""),"",B37)</f>
        <v/>
      </c>
      <c r="C72" s="580" t="str">
        <f t="shared" si="44"/>
        <v/>
      </c>
      <c r="D72" s="581"/>
      <c r="E72" s="287"/>
      <c r="F72" s="642"/>
      <c r="G72" s="643"/>
      <c r="H72" s="643"/>
      <c r="I72" s="644"/>
      <c r="J72" s="286"/>
      <c r="K72" s="286"/>
      <c r="L72" s="1"/>
      <c r="M72" s="2"/>
      <c r="N72" s="161"/>
      <c r="S72"/>
      <c r="T72" s="155"/>
      <c r="X72"/>
      <c r="Y72" s="70">
        <f t="shared" si="45"/>
        <v>0</v>
      </c>
      <c r="AA72" s="185">
        <f t="shared" si="46"/>
        <v>0</v>
      </c>
      <c r="AC72" s="185">
        <f t="shared" si="47"/>
        <v>0</v>
      </c>
      <c r="AE72" s="185">
        <f t="shared" si="48"/>
        <v>0</v>
      </c>
      <c r="AG72" s="185">
        <f t="shared" si="49"/>
        <v>0</v>
      </c>
    </row>
    <row r="73" spans="1:33" ht="15.6" customHeight="1" x14ac:dyDescent="0.25">
      <c r="A73" s="390"/>
      <c r="B73" s="184" t="str">
        <f>IF(OR(B38="Podnik 5.",B38=""),"",B38)</f>
        <v/>
      </c>
      <c r="C73" s="580" t="str">
        <f t="shared" si="44"/>
        <v/>
      </c>
      <c r="D73" s="581"/>
      <c r="E73" s="287"/>
      <c r="F73" s="642"/>
      <c r="G73" s="643"/>
      <c r="H73" s="643"/>
      <c r="I73" s="644"/>
      <c r="J73" s="286"/>
      <c r="K73" s="286"/>
      <c r="L73" s="1"/>
      <c r="M73" s="2"/>
      <c r="N73" s="161"/>
      <c r="S73"/>
      <c r="T73" s="155"/>
      <c r="X73"/>
      <c r="Y73" s="70">
        <f t="shared" si="45"/>
        <v>0</v>
      </c>
      <c r="AA73" s="185">
        <f t="shared" si="46"/>
        <v>0</v>
      </c>
      <c r="AC73" s="185">
        <f t="shared" si="47"/>
        <v>0</v>
      </c>
      <c r="AE73" s="185">
        <f t="shared" si="48"/>
        <v>0</v>
      </c>
      <c r="AG73" s="185">
        <f t="shared" si="49"/>
        <v>0</v>
      </c>
    </row>
    <row r="74" spans="1:33" ht="15.6" customHeight="1" x14ac:dyDescent="0.25">
      <c r="A74" s="390"/>
      <c r="B74" s="184" t="str">
        <f>IF(OR(B39="Podnik 6.",B39=""),"",B39)</f>
        <v/>
      </c>
      <c r="C74" s="580" t="str">
        <f t="shared" si="44"/>
        <v/>
      </c>
      <c r="D74" s="581"/>
      <c r="E74" s="287"/>
      <c r="F74" s="642"/>
      <c r="G74" s="643"/>
      <c r="H74" s="643"/>
      <c r="I74" s="644"/>
      <c r="J74" s="286"/>
      <c r="K74" s="286"/>
      <c r="L74" s="1"/>
      <c r="M74" s="2"/>
      <c r="N74" s="161"/>
      <c r="S74"/>
      <c r="T74" s="155"/>
      <c r="X74"/>
      <c r="Y74" s="70">
        <f t="shared" si="45"/>
        <v>0</v>
      </c>
      <c r="AA74" s="185">
        <f t="shared" si="46"/>
        <v>0</v>
      </c>
      <c r="AC74" s="185">
        <f t="shared" si="47"/>
        <v>0</v>
      </c>
      <c r="AE74" s="185">
        <f t="shared" si="48"/>
        <v>0</v>
      </c>
      <c r="AG74" s="185">
        <f t="shared" si="49"/>
        <v>0</v>
      </c>
    </row>
    <row r="75" spans="1:33" ht="15.6" customHeight="1" x14ac:dyDescent="0.25">
      <c r="A75" s="390"/>
      <c r="B75" s="184" t="str">
        <f>IF(OR(B40="Podnik 7.",B40=""),"",B40)</f>
        <v/>
      </c>
      <c r="C75" s="580" t="str">
        <f t="shared" si="44"/>
        <v/>
      </c>
      <c r="D75" s="581"/>
      <c r="E75" s="287"/>
      <c r="F75" s="642"/>
      <c r="G75" s="643"/>
      <c r="H75" s="643"/>
      <c r="I75" s="644"/>
      <c r="J75" s="286"/>
      <c r="K75" s="286"/>
      <c r="L75" s="1"/>
      <c r="M75" s="2"/>
      <c r="N75" s="161"/>
      <c r="S75"/>
      <c r="T75" s="155"/>
      <c r="X75"/>
      <c r="Y75" s="70">
        <f t="shared" si="45"/>
        <v>0</v>
      </c>
      <c r="AA75" s="185">
        <f t="shared" si="46"/>
        <v>0</v>
      </c>
      <c r="AC75" s="185">
        <f t="shared" si="47"/>
        <v>0</v>
      </c>
      <c r="AE75" s="185">
        <f t="shared" si="48"/>
        <v>0</v>
      </c>
      <c r="AG75" s="185">
        <f t="shared" si="49"/>
        <v>0</v>
      </c>
    </row>
    <row r="76" spans="1:33" ht="15.6" customHeight="1" x14ac:dyDescent="0.25">
      <c r="A76" s="390"/>
      <c r="B76" s="184" t="str">
        <f>IF(OR(B41="Podnik 8.",B41=""),"",B41)</f>
        <v/>
      </c>
      <c r="C76" s="580" t="str">
        <f t="shared" si="44"/>
        <v/>
      </c>
      <c r="D76" s="581"/>
      <c r="E76" s="287"/>
      <c r="F76" s="642"/>
      <c r="G76" s="643"/>
      <c r="H76" s="643"/>
      <c r="I76" s="644"/>
      <c r="J76" s="286"/>
      <c r="K76" s="286"/>
      <c r="L76" s="1"/>
      <c r="M76" s="2"/>
      <c r="N76" s="161"/>
      <c r="S76"/>
      <c r="T76" s="155"/>
      <c r="X76"/>
      <c r="Y76" s="70">
        <f t="shared" si="45"/>
        <v>0</v>
      </c>
      <c r="AA76" s="185">
        <f t="shared" si="46"/>
        <v>0</v>
      </c>
      <c r="AC76" s="185">
        <f t="shared" si="47"/>
        <v>0</v>
      </c>
      <c r="AE76" s="185">
        <f t="shared" si="48"/>
        <v>0</v>
      </c>
      <c r="AG76" s="185">
        <f t="shared" si="49"/>
        <v>0</v>
      </c>
    </row>
    <row r="77" spans="1:33" ht="15.6" customHeight="1" x14ac:dyDescent="0.25">
      <c r="A77" s="390"/>
      <c r="B77" s="184" t="str">
        <f>IF(OR(B42="Podnik 9.",B42=""),"",B42)</f>
        <v/>
      </c>
      <c r="C77" s="580" t="str">
        <f t="shared" si="44"/>
        <v/>
      </c>
      <c r="D77" s="581"/>
      <c r="E77" s="287"/>
      <c r="F77" s="642"/>
      <c r="G77" s="643"/>
      <c r="H77" s="643"/>
      <c r="I77" s="644"/>
      <c r="J77" s="286"/>
      <c r="K77" s="286"/>
      <c r="L77" s="1"/>
      <c r="M77" s="2"/>
      <c r="N77" s="161"/>
      <c r="S77"/>
      <c r="T77" s="155"/>
      <c r="X77"/>
      <c r="Y77" s="70">
        <f t="shared" si="45"/>
        <v>0</v>
      </c>
      <c r="AA77" s="185">
        <f t="shared" si="46"/>
        <v>0</v>
      </c>
      <c r="AC77" s="185">
        <f t="shared" si="47"/>
        <v>0</v>
      </c>
      <c r="AE77" s="185">
        <f t="shared" si="48"/>
        <v>0</v>
      </c>
      <c r="AG77" s="185">
        <f t="shared" si="49"/>
        <v>0</v>
      </c>
    </row>
    <row r="78" spans="1:33" ht="15.6" customHeight="1" x14ac:dyDescent="0.25">
      <c r="A78" s="390"/>
      <c r="B78" s="184" t="str">
        <f>IF(OR(B43="Podnik 10.",B43=""),"",B43)</f>
        <v/>
      </c>
      <c r="C78" s="580" t="str">
        <f t="shared" si="44"/>
        <v/>
      </c>
      <c r="D78" s="581"/>
      <c r="E78" s="287"/>
      <c r="F78" s="642"/>
      <c r="G78" s="643"/>
      <c r="H78" s="643"/>
      <c r="I78" s="644"/>
      <c r="J78" s="286"/>
      <c r="K78" s="286"/>
      <c r="L78" s="1"/>
      <c r="M78" s="2"/>
      <c r="N78" s="161"/>
      <c r="S78"/>
      <c r="T78" s="155"/>
      <c r="X78"/>
      <c r="Y78" s="70">
        <f t="shared" si="45"/>
        <v>0</v>
      </c>
      <c r="AA78" s="185">
        <f t="shared" si="46"/>
        <v>0</v>
      </c>
      <c r="AC78" s="185">
        <f t="shared" si="47"/>
        <v>0</v>
      </c>
      <c r="AE78" s="185">
        <f t="shared" si="48"/>
        <v>0</v>
      </c>
      <c r="AG78" s="185">
        <f t="shared" si="49"/>
        <v>0</v>
      </c>
    </row>
    <row r="79" spans="1:33" ht="15.6" customHeight="1" x14ac:dyDescent="0.25">
      <c r="A79" s="390"/>
      <c r="B79" s="184" t="str">
        <f>IF(OR(B44="Podnik 11.",B44=""),"",B44)</f>
        <v/>
      </c>
      <c r="C79" s="580" t="str">
        <f t="shared" si="44"/>
        <v/>
      </c>
      <c r="D79" s="581"/>
      <c r="E79" s="287"/>
      <c r="F79" s="642"/>
      <c r="G79" s="643"/>
      <c r="H79" s="643"/>
      <c r="I79" s="644"/>
      <c r="J79" s="286"/>
      <c r="K79" s="286"/>
      <c r="L79" s="1"/>
      <c r="M79" s="2"/>
      <c r="N79" s="161"/>
      <c r="S79"/>
      <c r="T79" s="155"/>
      <c r="X79"/>
      <c r="Y79" s="70">
        <f t="shared" si="45"/>
        <v>0</v>
      </c>
      <c r="AA79" s="185">
        <f t="shared" si="46"/>
        <v>0</v>
      </c>
      <c r="AC79" s="185">
        <f t="shared" si="47"/>
        <v>0</v>
      </c>
      <c r="AE79" s="185">
        <f t="shared" si="48"/>
        <v>0</v>
      </c>
      <c r="AG79" s="185">
        <f t="shared" si="49"/>
        <v>0</v>
      </c>
    </row>
    <row r="80" spans="1:33" ht="15.6" customHeight="1" x14ac:dyDescent="0.25">
      <c r="A80" s="390"/>
      <c r="B80" s="184" t="str">
        <f>IF(OR(B45="Podnik 12.",B45=""),"",B45)</f>
        <v/>
      </c>
      <c r="C80" s="580" t="str">
        <f t="shared" si="44"/>
        <v/>
      </c>
      <c r="D80" s="581"/>
      <c r="E80" s="287"/>
      <c r="F80" s="642"/>
      <c r="G80" s="643"/>
      <c r="H80" s="643"/>
      <c r="I80" s="644"/>
      <c r="J80" s="286"/>
      <c r="K80" s="286"/>
      <c r="L80" s="1"/>
      <c r="M80" s="2"/>
      <c r="N80" s="161"/>
      <c r="S80"/>
      <c r="T80" s="155"/>
      <c r="X80"/>
      <c r="Y80" s="70">
        <f t="shared" si="45"/>
        <v>0</v>
      </c>
      <c r="AA80" s="185">
        <f t="shared" si="46"/>
        <v>0</v>
      </c>
      <c r="AC80" s="185">
        <f t="shared" si="47"/>
        <v>0</v>
      </c>
      <c r="AE80" s="185">
        <f t="shared" si="48"/>
        <v>0</v>
      </c>
      <c r="AG80" s="185">
        <f t="shared" si="49"/>
        <v>0</v>
      </c>
    </row>
    <row r="81" spans="1:33" ht="15.6" customHeight="1" x14ac:dyDescent="0.25">
      <c r="A81" s="390"/>
      <c r="B81" s="184" t="str">
        <f>IF(OR(B46="Podnik 13.",B46=""),"",B46)</f>
        <v/>
      </c>
      <c r="C81" s="580" t="str">
        <f t="shared" si="44"/>
        <v/>
      </c>
      <c r="D81" s="581"/>
      <c r="E81" s="287"/>
      <c r="F81" s="642"/>
      <c r="G81" s="643"/>
      <c r="H81" s="643"/>
      <c r="I81" s="644"/>
      <c r="J81" s="286"/>
      <c r="K81" s="286"/>
      <c r="L81" s="1"/>
      <c r="M81" s="2"/>
      <c r="N81" s="161"/>
      <c r="S81"/>
      <c r="T81" s="155"/>
      <c r="X81"/>
      <c r="Y81" s="70">
        <f t="shared" si="45"/>
        <v>0</v>
      </c>
      <c r="AA81" s="185">
        <f t="shared" si="46"/>
        <v>0</v>
      </c>
      <c r="AC81" s="185">
        <f t="shared" si="47"/>
        <v>0</v>
      </c>
      <c r="AE81" s="185">
        <f t="shared" si="48"/>
        <v>0</v>
      </c>
      <c r="AG81" s="185">
        <f t="shared" si="49"/>
        <v>0</v>
      </c>
    </row>
    <row r="82" spans="1:33" ht="15.6" customHeight="1" x14ac:dyDescent="0.25">
      <c r="A82" s="390"/>
      <c r="B82" s="184" t="str">
        <f>IF(OR(B47="Podnik 14.",B47=""),"",B47)</f>
        <v/>
      </c>
      <c r="C82" s="580" t="str">
        <f t="shared" si="44"/>
        <v/>
      </c>
      <c r="D82" s="581"/>
      <c r="E82" s="287"/>
      <c r="F82" s="642"/>
      <c r="G82" s="643"/>
      <c r="H82" s="643"/>
      <c r="I82" s="644"/>
      <c r="J82" s="286"/>
      <c r="K82" s="286"/>
      <c r="L82" s="1"/>
      <c r="M82" s="2"/>
      <c r="N82" s="161"/>
      <c r="S82"/>
      <c r="T82" s="155"/>
      <c r="X82"/>
      <c r="Y82" s="70">
        <f t="shared" si="45"/>
        <v>0</v>
      </c>
      <c r="AA82" s="185">
        <f t="shared" si="46"/>
        <v>0</v>
      </c>
      <c r="AC82" s="185">
        <f t="shared" si="47"/>
        <v>0</v>
      </c>
      <c r="AE82" s="185">
        <f t="shared" si="48"/>
        <v>0</v>
      </c>
      <c r="AG82" s="185">
        <f t="shared" si="49"/>
        <v>0</v>
      </c>
    </row>
    <row r="83" spans="1:33" ht="15.6" customHeight="1" x14ac:dyDescent="0.25">
      <c r="A83" s="390"/>
      <c r="B83" s="184" t="str">
        <f>IF(OR(B48="Podnik 15.",B48=""),"",B48)</f>
        <v/>
      </c>
      <c r="C83" s="580" t="str">
        <f t="shared" si="44"/>
        <v/>
      </c>
      <c r="D83" s="581"/>
      <c r="E83" s="287"/>
      <c r="F83" s="642"/>
      <c r="G83" s="643"/>
      <c r="H83" s="643"/>
      <c r="I83" s="644"/>
      <c r="J83" s="286"/>
      <c r="K83" s="286"/>
      <c r="L83" s="1"/>
      <c r="M83" s="2"/>
      <c r="N83" s="161"/>
      <c r="S83"/>
      <c r="T83" s="155"/>
      <c r="X83"/>
      <c r="Y83" s="70">
        <f t="shared" si="45"/>
        <v>0</v>
      </c>
      <c r="AA83" s="185">
        <f t="shared" si="46"/>
        <v>0</v>
      </c>
      <c r="AC83" s="185">
        <f t="shared" si="47"/>
        <v>0</v>
      </c>
      <c r="AE83" s="185">
        <f t="shared" si="48"/>
        <v>0</v>
      </c>
      <c r="AG83" s="185">
        <f t="shared" si="49"/>
        <v>0</v>
      </c>
    </row>
    <row r="84" spans="1:33" ht="15.6" customHeight="1" x14ac:dyDescent="0.25">
      <c r="A84" s="390"/>
      <c r="B84" s="184" t="str">
        <f>IF(OR(B49="Podnik 16.",B49=""),"",B49)</f>
        <v/>
      </c>
      <c r="C84" s="580" t="str">
        <f t="shared" si="44"/>
        <v/>
      </c>
      <c r="D84" s="581"/>
      <c r="E84" s="287"/>
      <c r="F84" s="642"/>
      <c r="G84" s="643"/>
      <c r="H84" s="643"/>
      <c r="I84" s="644"/>
      <c r="J84" s="286"/>
      <c r="K84" s="286"/>
      <c r="L84" s="1"/>
      <c r="M84" s="2"/>
      <c r="N84" s="161"/>
      <c r="S84"/>
      <c r="T84" s="155"/>
      <c r="X84"/>
      <c r="Y84" s="70">
        <f t="shared" si="45"/>
        <v>0</v>
      </c>
      <c r="AA84" s="185">
        <f t="shared" si="46"/>
        <v>0</v>
      </c>
      <c r="AC84" s="185">
        <f t="shared" si="47"/>
        <v>0</v>
      </c>
      <c r="AE84" s="185">
        <f t="shared" si="48"/>
        <v>0</v>
      </c>
      <c r="AG84" s="185">
        <f t="shared" si="49"/>
        <v>0</v>
      </c>
    </row>
    <row r="85" spans="1:33" ht="15.6" customHeight="1" x14ac:dyDescent="0.25">
      <c r="A85" s="390"/>
      <c r="B85" s="184" t="str">
        <f>IF(OR(B50="Podnik 17.",B50=""),"",B50)</f>
        <v/>
      </c>
      <c r="C85" s="580" t="str">
        <f t="shared" ref="C85:C98" si="50">IF(C50&gt;20,C50-1,"")</f>
        <v/>
      </c>
      <c r="D85" s="581"/>
      <c r="E85" s="287"/>
      <c r="F85" s="642"/>
      <c r="G85" s="643"/>
      <c r="H85" s="643"/>
      <c r="I85" s="644"/>
      <c r="J85" s="286"/>
      <c r="K85" s="286"/>
      <c r="L85" s="1"/>
      <c r="M85" s="2"/>
      <c r="N85" s="161"/>
      <c r="S85"/>
      <c r="T85" s="155"/>
      <c r="X85"/>
      <c r="Y85" s="70">
        <f t="shared" si="45"/>
        <v>0</v>
      </c>
      <c r="AA85" s="185">
        <f t="shared" si="46"/>
        <v>0</v>
      </c>
      <c r="AC85" s="185">
        <f t="shared" si="47"/>
        <v>0</v>
      </c>
      <c r="AE85" s="185">
        <f t="shared" si="48"/>
        <v>0</v>
      </c>
      <c r="AG85" s="185">
        <f t="shared" si="49"/>
        <v>0</v>
      </c>
    </row>
    <row r="86" spans="1:33" ht="15.6" customHeight="1" x14ac:dyDescent="0.25">
      <c r="A86" s="390"/>
      <c r="B86" s="184" t="str">
        <f>IF(OR(B51="Podnik 18.",B51=""),"",B51)</f>
        <v/>
      </c>
      <c r="C86" s="580" t="str">
        <f t="shared" si="50"/>
        <v/>
      </c>
      <c r="D86" s="581"/>
      <c r="E86" s="287"/>
      <c r="F86" s="642"/>
      <c r="G86" s="643"/>
      <c r="H86" s="643"/>
      <c r="I86" s="644"/>
      <c r="J86" s="286"/>
      <c r="K86" s="286"/>
      <c r="L86" s="1"/>
      <c r="M86" s="2"/>
      <c r="N86" s="161"/>
      <c r="S86"/>
      <c r="T86" s="155"/>
      <c r="X86"/>
      <c r="Y86" s="70">
        <f t="shared" ref="Y86:Y98" si="51">IF(C86=$T$30,E86,0)</f>
        <v>0</v>
      </c>
      <c r="AA86" s="185">
        <f t="shared" ref="AA86:AA98" si="52">IF(C86=$T$30,J86,0)</f>
        <v>0</v>
      </c>
      <c r="AC86" s="185">
        <f t="shared" ref="AC86:AC98" si="53">IF(C86=$T$30,K86,0)</f>
        <v>0</v>
      </c>
      <c r="AE86" s="185">
        <f t="shared" ref="AE86:AE98" si="54">IF(C86=$T$30,L86,0)</f>
        <v>0</v>
      </c>
      <c r="AG86" s="185">
        <f t="shared" ref="AG86:AG98" si="55">IF(C86=$T$30,M86,0)</f>
        <v>0</v>
      </c>
    </row>
    <row r="87" spans="1:33" ht="15.6" customHeight="1" x14ac:dyDescent="0.25">
      <c r="A87" s="390"/>
      <c r="B87" s="184" t="str">
        <f>IF(OR(B52="Podnik 19.",B52=""),"",B52)</f>
        <v/>
      </c>
      <c r="C87" s="580" t="str">
        <f t="shared" si="50"/>
        <v/>
      </c>
      <c r="D87" s="581"/>
      <c r="E87" s="287"/>
      <c r="F87" s="642"/>
      <c r="G87" s="643"/>
      <c r="H87" s="643"/>
      <c r="I87" s="644"/>
      <c r="J87" s="286"/>
      <c r="K87" s="286"/>
      <c r="L87" s="1"/>
      <c r="M87" s="2"/>
      <c r="N87" s="161"/>
      <c r="S87"/>
      <c r="T87" s="155"/>
      <c r="X87"/>
      <c r="Y87" s="70">
        <f t="shared" si="51"/>
        <v>0</v>
      </c>
      <c r="AA87" s="185">
        <f t="shared" si="52"/>
        <v>0</v>
      </c>
      <c r="AC87" s="185">
        <f t="shared" si="53"/>
        <v>0</v>
      </c>
      <c r="AE87" s="185">
        <f t="shared" si="54"/>
        <v>0</v>
      </c>
      <c r="AG87" s="185">
        <f t="shared" si="55"/>
        <v>0</v>
      </c>
    </row>
    <row r="88" spans="1:33" ht="15.6" customHeight="1" x14ac:dyDescent="0.25">
      <c r="A88" s="390"/>
      <c r="B88" s="184" t="str">
        <f>IF(OR(B53="Podnik 20.",B53=""),"",B53)</f>
        <v/>
      </c>
      <c r="C88" s="580" t="str">
        <f t="shared" si="50"/>
        <v/>
      </c>
      <c r="D88" s="581"/>
      <c r="E88" s="287"/>
      <c r="F88" s="642"/>
      <c r="G88" s="643"/>
      <c r="H88" s="643"/>
      <c r="I88" s="644"/>
      <c r="J88" s="286"/>
      <c r="K88" s="286"/>
      <c r="L88" s="1"/>
      <c r="M88" s="2"/>
      <c r="N88" s="161"/>
      <c r="S88"/>
      <c r="T88" s="155"/>
      <c r="X88"/>
      <c r="Y88" s="70">
        <f t="shared" si="51"/>
        <v>0</v>
      </c>
      <c r="AA88" s="185">
        <f t="shared" si="52"/>
        <v>0</v>
      </c>
      <c r="AC88" s="185">
        <f t="shared" si="53"/>
        <v>0</v>
      </c>
      <c r="AE88" s="185">
        <f t="shared" si="54"/>
        <v>0</v>
      </c>
      <c r="AG88" s="185">
        <f t="shared" si="55"/>
        <v>0</v>
      </c>
    </row>
    <row r="89" spans="1:33" ht="15.6" hidden="1" customHeight="1" x14ac:dyDescent="0.25">
      <c r="A89" s="390"/>
      <c r="B89" s="184" t="str">
        <f>IF(OR(B54="Podnik 21.",B54=""),"",B54)</f>
        <v/>
      </c>
      <c r="C89" s="580" t="str">
        <f t="shared" si="50"/>
        <v/>
      </c>
      <c r="D89" s="581"/>
      <c r="E89" s="287"/>
      <c r="F89" s="642"/>
      <c r="G89" s="643"/>
      <c r="H89" s="643"/>
      <c r="I89" s="644"/>
      <c r="J89" s="286"/>
      <c r="K89" s="286"/>
      <c r="L89" s="1"/>
      <c r="M89" s="2"/>
      <c r="N89" s="161"/>
      <c r="S89"/>
      <c r="T89" s="155"/>
      <c r="X89"/>
      <c r="Y89" s="70">
        <f t="shared" si="51"/>
        <v>0</v>
      </c>
      <c r="AA89" s="185">
        <f t="shared" si="52"/>
        <v>0</v>
      </c>
      <c r="AC89" s="185">
        <f t="shared" si="53"/>
        <v>0</v>
      </c>
      <c r="AE89" s="185">
        <f t="shared" si="54"/>
        <v>0</v>
      </c>
      <c r="AG89" s="185">
        <f t="shared" si="55"/>
        <v>0</v>
      </c>
    </row>
    <row r="90" spans="1:33" ht="15.6" hidden="1" customHeight="1" x14ac:dyDescent="0.25">
      <c r="A90" s="390"/>
      <c r="B90" s="184" t="str">
        <f>IF(OR(B55="Podnik 22.",B55=""),"",B55)</f>
        <v/>
      </c>
      <c r="C90" s="580" t="str">
        <f t="shared" si="50"/>
        <v/>
      </c>
      <c r="D90" s="581"/>
      <c r="E90" s="287"/>
      <c r="F90" s="642"/>
      <c r="G90" s="643"/>
      <c r="H90" s="643"/>
      <c r="I90" s="644"/>
      <c r="J90" s="286"/>
      <c r="K90" s="286"/>
      <c r="L90" s="1"/>
      <c r="M90" s="2"/>
      <c r="N90" s="161"/>
      <c r="S90"/>
      <c r="T90" s="155"/>
      <c r="X90"/>
      <c r="Y90" s="70">
        <f t="shared" si="51"/>
        <v>0</v>
      </c>
      <c r="AA90" s="185">
        <f t="shared" si="52"/>
        <v>0</v>
      </c>
      <c r="AC90" s="185">
        <f t="shared" si="53"/>
        <v>0</v>
      </c>
      <c r="AE90" s="185">
        <f t="shared" si="54"/>
        <v>0</v>
      </c>
      <c r="AG90" s="185">
        <f t="shared" si="55"/>
        <v>0</v>
      </c>
    </row>
    <row r="91" spans="1:33" ht="15.6" hidden="1" customHeight="1" x14ac:dyDescent="0.25">
      <c r="A91" s="390"/>
      <c r="B91" s="184" t="str">
        <f>IF(OR(B56="Podnik 23.",B56=""),"",B56)</f>
        <v/>
      </c>
      <c r="C91" s="580" t="str">
        <f t="shared" si="50"/>
        <v/>
      </c>
      <c r="D91" s="581"/>
      <c r="E91" s="287"/>
      <c r="F91" s="642"/>
      <c r="G91" s="643"/>
      <c r="H91" s="643"/>
      <c r="I91" s="644"/>
      <c r="J91" s="286"/>
      <c r="K91" s="286"/>
      <c r="L91" s="1"/>
      <c r="M91" s="2"/>
      <c r="N91" s="161"/>
      <c r="S91"/>
      <c r="T91" s="155"/>
      <c r="X91"/>
      <c r="Y91" s="70">
        <f t="shared" si="51"/>
        <v>0</v>
      </c>
      <c r="AA91" s="185">
        <f t="shared" si="52"/>
        <v>0</v>
      </c>
      <c r="AC91" s="185">
        <f t="shared" si="53"/>
        <v>0</v>
      </c>
      <c r="AE91" s="185">
        <f t="shared" si="54"/>
        <v>0</v>
      </c>
      <c r="AG91" s="185">
        <f t="shared" si="55"/>
        <v>0</v>
      </c>
    </row>
    <row r="92" spans="1:33" ht="15.6" hidden="1" customHeight="1" x14ac:dyDescent="0.25">
      <c r="A92" s="390"/>
      <c r="B92" s="184" t="str">
        <f>IF(OR(B57="Podnik 24.",B57=""),"",B57)</f>
        <v/>
      </c>
      <c r="C92" s="580" t="str">
        <f t="shared" si="50"/>
        <v/>
      </c>
      <c r="D92" s="581"/>
      <c r="E92" s="287"/>
      <c r="F92" s="642"/>
      <c r="G92" s="643"/>
      <c r="H92" s="643"/>
      <c r="I92" s="644"/>
      <c r="J92" s="286"/>
      <c r="K92" s="286"/>
      <c r="L92" s="1"/>
      <c r="M92" s="2"/>
      <c r="N92" s="161"/>
      <c r="S92"/>
      <c r="T92" s="155"/>
      <c r="X92"/>
      <c r="Y92" s="70">
        <f t="shared" si="51"/>
        <v>0</v>
      </c>
      <c r="AA92" s="185">
        <f t="shared" si="52"/>
        <v>0</v>
      </c>
      <c r="AC92" s="185">
        <f t="shared" si="53"/>
        <v>0</v>
      </c>
      <c r="AE92" s="185">
        <f t="shared" si="54"/>
        <v>0</v>
      </c>
      <c r="AG92" s="185">
        <f t="shared" si="55"/>
        <v>0</v>
      </c>
    </row>
    <row r="93" spans="1:33" ht="15.6" hidden="1" customHeight="1" x14ac:dyDescent="0.25">
      <c r="A93" s="390"/>
      <c r="B93" s="184" t="str">
        <f>IF(OR(B58="Podnik 25.",B58=""),"",B58)</f>
        <v/>
      </c>
      <c r="C93" s="580" t="str">
        <f t="shared" si="50"/>
        <v/>
      </c>
      <c r="D93" s="581"/>
      <c r="E93" s="287"/>
      <c r="F93" s="642"/>
      <c r="G93" s="643"/>
      <c r="H93" s="643"/>
      <c r="I93" s="644"/>
      <c r="J93" s="286"/>
      <c r="K93" s="286"/>
      <c r="L93" s="1"/>
      <c r="M93" s="2"/>
      <c r="N93" s="161"/>
      <c r="S93"/>
      <c r="T93" s="155"/>
      <c r="X93"/>
      <c r="Y93" s="70">
        <f t="shared" si="51"/>
        <v>0</v>
      </c>
      <c r="AA93" s="185">
        <f t="shared" si="52"/>
        <v>0</v>
      </c>
      <c r="AC93" s="185">
        <f t="shared" si="53"/>
        <v>0</v>
      </c>
      <c r="AE93" s="185">
        <f t="shared" si="54"/>
        <v>0</v>
      </c>
      <c r="AG93" s="185">
        <f t="shared" si="55"/>
        <v>0</v>
      </c>
    </row>
    <row r="94" spans="1:33" ht="15.6" hidden="1" customHeight="1" x14ac:dyDescent="0.25">
      <c r="A94" s="390"/>
      <c r="B94" s="184" t="str">
        <f>IF(OR(B59="Podnik 26.",B59=""),"",B59)</f>
        <v/>
      </c>
      <c r="C94" s="580" t="str">
        <f t="shared" si="50"/>
        <v/>
      </c>
      <c r="D94" s="581"/>
      <c r="E94" s="287"/>
      <c r="F94" s="642"/>
      <c r="G94" s="643"/>
      <c r="H94" s="643"/>
      <c r="I94" s="644"/>
      <c r="J94" s="286"/>
      <c r="K94" s="286"/>
      <c r="L94" s="1"/>
      <c r="M94" s="2"/>
      <c r="N94" s="161"/>
      <c r="S94"/>
      <c r="T94" s="155"/>
      <c r="X94"/>
      <c r="Y94" s="70">
        <f t="shared" si="51"/>
        <v>0</v>
      </c>
      <c r="AA94" s="185">
        <f t="shared" si="52"/>
        <v>0</v>
      </c>
      <c r="AC94" s="185">
        <f t="shared" si="53"/>
        <v>0</v>
      </c>
      <c r="AE94" s="185">
        <f t="shared" si="54"/>
        <v>0</v>
      </c>
      <c r="AG94" s="185">
        <f t="shared" si="55"/>
        <v>0</v>
      </c>
    </row>
    <row r="95" spans="1:33" ht="15.6" hidden="1" customHeight="1" x14ac:dyDescent="0.25">
      <c r="A95" s="390"/>
      <c r="B95" s="184" t="str">
        <f>IF(OR(B60="Podnik 27.",B60=""),"",B60)</f>
        <v/>
      </c>
      <c r="C95" s="580" t="str">
        <f t="shared" si="50"/>
        <v/>
      </c>
      <c r="D95" s="581"/>
      <c r="E95" s="287"/>
      <c r="F95" s="642"/>
      <c r="G95" s="643"/>
      <c r="H95" s="643"/>
      <c r="I95" s="644"/>
      <c r="J95" s="286"/>
      <c r="K95" s="286"/>
      <c r="L95" s="1"/>
      <c r="M95" s="2"/>
      <c r="N95" s="161"/>
      <c r="S95"/>
      <c r="T95" s="155"/>
      <c r="X95"/>
      <c r="Y95" s="70">
        <f t="shared" si="51"/>
        <v>0</v>
      </c>
      <c r="AA95" s="185">
        <f t="shared" si="52"/>
        <v>0</v>
      </c>
      <c r="AC95" s="185">
        <f t="shared" si="53"/>
        <v>0</v>
      </c>
      <c r="AE95" s="185">
        <f t="shared" si="54"/>
        <v>0</v>
      </c>
      <c r="AG95" s="185">
        <f t="shared" si="55"/>
        <v>0</v>
      </c>
    </row>
    <row r="96" spans="1:33" ht="15.6" hidden="1" customHeight="1" x14ac:dyDescent="0.25">
      <c r="A96" s="390"/>
      <c r="B96" s="184" t="str">
        <f>IF(OR(B61="Podnik 28.",B61=""),"",B61)</f>
        <v/>
      </c>
      <c r="C96" s="580" t="str">
        <f t="shared" si="50"/>
        <v/>
      </c>
      <c r="D96" s="581"/>
      <c r="E96" s="287"/>
      <c r="F96" s="642"/>
      <c r="G96" s="643"/>
      <c r="H96" s="643"/>
      <c r="I96" s="644"/>
      <c r="J96" s="286"/>
      <c r="K96" s="286"/>
      <c r="L96" s="1"/>
      <c r="M96" s="2"/>
      <c r="N96" s="161"/>
      <c r="S96"/>
      <c r="T96" s="155"/>
      <c r="X96"/>
      <c r="Y96" s="70">
        <f t="shared" si="51"/>
        <v>0</v>
      </c>
      <c r="AA96" s="185">
        <f t="shared" si="52"/>
        <v>0</v>
      </c>
      <c r="AC96" s="185">
        <f t="shared" si="53"/>
        <v>0</v>
      </c>
      <c r="AE96" s="185">
        <f t="shared" si="54"/>
        <v>0</v>
      </c>
      <c r="AG96" s="185">
        <f t="shared" si="55"/>
        <v>0</v>
      </c>
    </row>
    <row r="97" spans="1:36" ht="15.6" hidden="1" customHeight="1" x14ac:dyDescent="0.25">
      <c r="A97" s="390"/>
      <c r="B97" s="184" t="str">
        <f>IF(OR(B62="Podnik 29.",B62=""),"",B62)</f>
        <v/>
      </c>
      <c r="C97" s="580" t="str">
        <f t="shared" si="50"/>
        <v/>
      </c>
      <c r="D97" s="581"/>
      <c r="E97" s="287"/>
      <c r="F97" s="642"/>
      <c r="G97" s="643"/>
      <c r="H97" s="643"/>
      <c r="I97" s="644"/>
      <c r="J97" s="286"/>
      <c r="K97" s="286"/>
      <c r="L97" s="1"/>
      <c r="M97" s="2"/>
      <c r="N97" s="161"/>
      <c r="S97"/>
      <c r="T97" s="155"/>
      <c r="X97"/>
      <c r="Y97" s="70">
        <f t="shared" si="51"/>
        <v>0</v>
      </c>
      <c r="AA97" s="185">
        <f t="shared" si="52"/>
        <v>0</v>
      </c>
      <c r="AC97" s="185">
        <f t="shared" si="53"/>
        <v>0</v>
      </c>
      <c r="AE97" s="185">
        <f t="shared" si="54"/>
        <v>0</v>
      </c>
      <c r="AG97" s="185">
        <f t="shared" si="55"/>
        <v>0</v>
      </c>
    </row>
    <row r="98" spans="1:36" ht="15.6" hidden="1" customHeight="1" x14ac:dyDescent="0.25">
      <c r="A98" s="390"/>
      <c r="B98" s="184" t="str">
        <f>IF(OR(B63="Podnik 30.",B63=""),"",B63)</f>
        <v/>
      </c>
      <c r="C98" s="580" t="str">
        <f t="shared" si="50"/>
        <v/>
      </c>
      <c r="D98" s="581"/>
      <c r="E98" s="287"/>
      <c r="F98" s="642"/>
      <c r="G98" s="643"/>
      <c r="H98" s="643"/>
      <c r="I98" s="644"/>
      <c r="J98" s="286"/>
      <c r="K98" s="286"/>
      <c r="L98" s="1"/>
      <c r="M98" s="2"/>
      <c r="N98" s="161"/>
      <c r="S98"/>
      <c r="T98" s="155"/>
      <c r="X98"/>
      <c r="Y98" s="70">
        <f t="shared" si="51"/>
        <v>0</v>
      </c>
      <c r="AA98" s="185">
        <f t="shared" si="52"/>
        <v>0</v>
      </c>
      <c r="AC98" s="185">
        <f t="shared" si="53"/>
        <v>0</v>
      </c>
      <c r="AE98" s="185">
        <f t="shared" si="54"/>
        <v>0</v>
      </c>
      <c r="AG98" s="185">
        <f t="shared" si="55"/>
        <v>0</v>
      </c>
    </row>
    <row r="99" spans="1:36" ht="15.6" customHeight="1" thickBot="1" x14ac:dyDescent="0.3">
      <c r="A99" s="390"/>
      <c r="B99" s="605" t="s">
        <v>73</v>
      </c>
      <c r="C99" s="606"/>
      <c r="D99" s="607"/>
      <c r="E99" s="189">
        <f>SUM(E69:E98)</f>
        <v>0</v>
      </c>
      <c r="F99" s="645"/>
      <c r="G99" s="646"/>
      <c r="H99" s="646"/>
      <c r="I99" s="647"/>
      <c r="J99" s="190">
        <f>SUM(J69:J98)</f>
        <v>0</v>
      </c>
      <c r="K99" s="190">
        <f>SUM(K69:K98)</f>
        <v>0</v>
      </c>
      <c r="L99" s="190">
        <f>SUM(L69:L98)</f>
        <v>0</v>
      </c>
      <c r="M99" s="191">
        <f>SUM(M69:M98)</f>
        <v>0</v>
      </c>
      <c r="N99" s="161"/>
      <c r="S99"/>
      <c r="T99" s="155"/>
    </row>
    <row r="100" spans="1:36" ht="20.25" customHeight="1" x14ac:dyDescent="0.25">
      <c r="A100" s="390"/>
      <c r="B100" s="160"/>
      <c r="C100" s="160"/>
      <c r="D100" s="161"/>
      <c r="E100" s="161"/>
      <c r="F100" s="160"/>
      <c r="G100" s="162"/>
      <c r="H100" s="163"/>
      <c r="I100" s="163"/>
      <c r="J100" s="163"/>
      <c r="K100" s="163"/>
      <c r="L100" s="161"/>
      <c r="M100" s="161"/>
      <c r="N100" s="161"/>
      <c r="S100"/>
      <c r="T100" s="155"/>
    </row>
    <row r="101" spans="1:36" ht="20.25" customHeight="1" thickBot="1" x14ac:dyDescent="0.3">
      <c r="A101" s="192"/>
      <c r="B101" s="396"/>
      <c r="C101" s="193"/>
      <c r="D101" s="194"/>
      <c r="E101" s="194"/>
      <c r="F101" s="193"/>
      <c r="G101" s="195"/>
      <c r="H101" s="196"/>
      <c r="I101" s="196"/>
      <c r="J101" s="196"/>
      <c r="K101" s="196"/>
      <c r="L101" s="194"/>
      <c r="M101" s="194"/>
      <c r="N101" s="194"/>
      <c r="S101"/>
      <c r="T101" s="155"/>
      <c r="U101" s="155"/>
      <c r="V101" s="155"/>
      <c r="W101" s="155"/>
      <c r="X101" s="155"/>
      <c r="Y101" s="155"/>
      <c r="Z101" s="155"/>
      <c r="AA101" s="155"/>
      <c r="AB101" s="155"/>
      <c r="AC101" s="155"/>
      <c r="AD101" s="155"/>
      <c r="AE101" s="155"/>
      <c r="AF101" s="155"/>
      <c r="AG101" s="155"/>
      <c r="AH101" s="155"/>
      <c r="AI101" s="155"/>
      <c r="AJ101" s="155"/>
    </row>
    <row r="102" spans="1:36" ht="21" customHeight="1" x14ac:dyDescent="0.25">
      <c r="A102" s="197" t="s">
        <v>418</v>
      </c>
      <c r="B102" s="752" t="s">
        <v>371</v>
      </c>
      <c r="C102" s="611" t="str">
        <f>IF(AND(E11="Ano",E13="Ano"),"","Podniky, které vedou účetnictví, kdy alespoň jeden ze společníků plně ručí za závazky a podnik má zároveň základní kapitál nebo minimální kapitálový požadavek.")</f>
        <v>Podniky, které vedou účetnictví, kdy alespoň jeden ze společníků plně ručí za závazky a podnik má zároveň základní kapitál nebo minimální kapitálový požadavek.</v>
      </c>
      <c r="D102" s="611"/>
      <c r="E102" s="611"/>
      <c r="F102" s="611"/>
      <c r="G102" s="611"/>
      <c r="H102" s="611"/>
      <c r="I102" s="611"/>
      <c r="J102" s="611"/>
      <c r="K102" s="611"/>
      <c r="L102" s="611"/>
      <c r="M102" s="612"/>
      <c r="N102" s="194"/>
      <c r="S102"/>
      <c r="T102" s="155"/>
      <c r="U102" s="155"/>
      <c r="V102" s="155"/>
      <c r="W102" s="155"/>
      <c r="X102" s="155"/>
      <c r="Y102" s="155"/>
      <c r="Z102" s="155"/>
      <c r="AA102" s="155"/>
      <c r="AB102" s="155"/>
      <c r="AC102" s="155"/>
      <c r="AD102" s="155"/>
      <c r="AE102" s="155"/>
      <c r="AF102" s="155"/>
      <c r="AG102" s="155"/>
      <c r="AH102" s="155"/>
      <c r="AI102" s="155"/>
      <c r="AJ102" s="155"/>
    </row>
    <row r="103" spans="1:36" ht="17.25" customHeight="1" x14ac:dyDescent="0.25">
      <c r="A103" s="197"/>
      <c r="B103" s="753"/>
      <c r="C103" s="613" t="str">
        <f>IF(AND(E11="Ano",E13="Ano"),"","Podniky, které vedou jednoduché účetnictví / daňovou evidenci, kdy alespoň jeden ze společníků plně ručí za závazky (bez ohledu na ZK nebo minimální kap. požadvek).")</f>
        <v>Podniky, které vedou jednoduché účetnictví / daňovou evidenci, kdy alespoň jeden ze společníků plně ručí za závazky (bez ohledu na ZK nebo minimální kap. požadvek).</v>
      </c>
      <c r="D103" s="613"/>
      <c r="E103" s="613"/>
      <c r="F103" s="613"/>
      <c r="G103" s="613"/>
      <c r="H103" s="613"/>
      <c r="I103" s="613"/>
      <c r="J103" s="613"/>
      <c r="K103" s="613"/>
      <c r="L103" s="613"/>
      <c r="M103" s="614"/>
      <c r="N103" s="194"/>
      <c r="S103"/>
      <c r="T103" s="155"/>
      <c r="U103" s="155"/>
      <c r="V103" s="155"/>
      <c r="W103" s="155"/>
      <c r="X103" s="155"/>
      <c r="Y103" s="155"/>
      <c r="Z103" s="155"/>
      <c r="AA103" s="155"/>
      <c r="AB103" s="155"/>
      <c r="AC103" s="155"/>
      <c r="AD103" s="155"/>
      <c r="AE103" s="155"/>
      <c r="AF103" s="155"/>
      <c r="AG103" s="155"/>
      <c r="AH103" s="155"/>
      <c r="AI103" s="155"/>
      <c r="AJ103" s="155"/>
    </row>
    <row r="104" spans="1:36" ht="21" customHeight="1" thickBot="1" x14ac:dyDescent="0.3">
      <c r="A104" s="197"/>
      <c r="B104" s="753"/>
      <c r="C104" s="628" t="str">
        <f>IF(E11="Ano","Fyzické osoby podnikající (OSVČ), které vedou účetnictví.    (OSVČ s daňovou evidencí doplňte níže do tabulky III.C).","Fyzické osoby podnikající (OSVČ), které vedenou účetnictví a fyzické osoby podnikající (OSVČ), které vedou daňovou evidenci.")</f>
        <v>Fyzické osoby podnikající (OSVČ), které vedenou účetnictví a fyzické osoby podnikající (OSVČ), které vedou daňovou evidenci.</v>
      </c>
      <c r="D104" s="628"/>
      <c r="E104" s="629"/>
      <c r="F104" s="629"/>
      <c r="G104" s="629"/>
      <c r="H104" s="629"/>
      <c r="I104" s="629"/>
      <c r="J104" s="629"/>
      <c r="K104" s="629"/>
      <c r="L104" s="629"/>
      <c r="M104" s="630"/>
      <c r="N104" s="194"/>
      <c r="O104" s="395" t="s">
        <v>537</v>
      </c>
      <c r="S104"/>
      <c r="T104" s="155"/>
      <c r="U104" s="155"/>
      <c r="V104" s="155"/>
      <c r="W104" s="155"/>
      <c r="X104" s="155"/>
      <c r="Y104" s="155"/>
      <c r="Z104" s="155"/>
      <c r="AA104" s="155"/>
      <c r="AB104" s="155"/>
      <c r="AC104" s="155"/>
      <c r="AD104" s="155"/>
      <c r="AE104" s="155"/>
      <c r="AF104" s="155"/>
      <c r="AG104" s="155"/>
      <c r="AH104" s="155"/>
      <c r="AI104" s="155"/>
      <c r="AJ104" s="155"/>
    </row>
    <row r="105" spans="1:36" ht="20.25" customHeight="1" x14ac:dyDescent="0.25">
      <c r="A105" s="197"/>
      <c r="B105" s="631" t="str">
        <f>B31</f>
        <v>Obchodní jméno podniku</v>
      </c>
      <c r="C105" s="625" t="s">
        <v>497</v>
      </c>
      <c r="D105" s="626"/>
      <c r="E105" s="658" t="s">
        <v>500</v>
      </c>
      <c r="F105" s="658"/>
      <c r="G105" s="658"/>
      <c r="H105" s="658"/>
      <c r="I105" s="658"/>
      <c r="J105" s="168"/>
      <c r="K105" s="621" t="s">
        <v>87</v>
      </c>
      <c r="L105" s="621"/>
      <c r="M105" s="622"/>
      <c r="N105" s="194"/>
      <c r="O105" s="391" t="str">
        <f>IF(AND(E11="Ano",E13="Ano"),"Ano","Ne")</f>
        <v>Ne</v>
      </c>
      <c r="S105"/>
      <c r="V105"/>
      <c r="W105"/>
      <c r="X105"/>
      <c r="Y105"/>
      <c r="Z105"/>
      <c r="AA105"/>
      <c r="AB105"/>
      <c r="AC105"/>
      <c r="AD105"/>
      <c r="AE105"/>
      <c r="AF105"/>
      <c r="AG105"/>
      <c r="AH105"/>
      <c r="AI105"/>
      <c r="AJ105"/>
    </row>
    <row r="106" spans="1:36" ht="56.25" customHeight="1" x14ac:dyDescent="0.25">
      <c r="A106" s="197"/>
      <c r="B106" s="632"/>
      <c r="C106" s="792"/>
      <c r="D106" s="627"/>
      <c r="E106" s="198" t="s">
        <v>15</v>
      </c>
      <c r="F106" s="183" t="s">
        <v>30</v>
      </c>
      <c r="G106" s="183" t="s">
        <v>72</v>
      </c>
      <c r="H106" s="183" t="s">
        <v>83</v>
      </c>
      <c r="I106" s="183" t="s">
        <v>81</v>
      </c>
      <c r="J106" s="183" t="s">
        <v>99</v>
      </c>
      <c r="K106" s="171" t="s">
        <v>23</v>
      </c>
      <c r="L106" s="171" t="s">
        <v>25</v>
      </c>
      <c r="M106" s="172" t="s">
        <v>82</v>
      </c>
      <c r="N106" s="194"/>
      <c r="S106"/>
      <c r="U106" s="155"/>
      <c r="V106" s="155"/>
      <c r="W106" s="155"/>
      <c r="X106" s="155"/>
      <c r="Y106" s="155"/>
      <c r="Z106" s="155"/>
      <c r="AA106" s="155"/>
      <c r="AB106" s="155"/>
      <c r="AC106" s="155"/>
      <c r="AD106" s="155"/>
      <c r="AE106" s="155"/>
      <c r="AF106" s="155"/>
      <c r="AG106" s="155"/>
      <c r="AH106" s="155"/>
      <c r="AI106" s="155"/>
      <c r="AJ106" s="155"/>
    </row>
    <row r="107" spans="1:36" ht="20.100000000000001" customHeight="1" thickBot="1" x14ac:dyDescent="0.3">
      <c r="A107" s="197"/>
      <c r="B107" s="793" t="s">
        <v>415</v>
      </c>
      <c r="C107" s="794"/>
      <c r="D107" s="795"/>
      <c r="E107" s="609" t="str">
        <f>E68</f>
        <v>Uveďte údaje z konsolidované účetní závěrky, je-li k dispozici.</v>
      </c>
      <c r="F107" s="609"/>
      <c r="G107" s="609"/>
      <c r="H107" s="609"/>
      <c r="I107" s="609"/>
      <c r="J107" s="609"/>
      <c r="K107" s="609"/>
      <c r="L107" s="609"/>
      <c r="M107" s="610"/>
      <c r="N107" s="194"/>
      <c r="O107" s="173" t="s">
        <v>482</v>
      </c>
      <c r="P107" s="173" t="s">
        <v>483</v>
      </c>
      <c r="U107" s="155"/>
      <c r="V107" s="199" t="s">
        <v>430</v>
      </c>
      <c r="W107" s="199"/>
      <c r="X107" s="155"/>
      <c r="Y107" s="155"/>
      <c r="Z107" s="155"/>
      <c r="AA107" s="155"/>
      <c r="AB107" s="155"/>
      <c r="AC107" s="155"/>
      <c r="AD107" s="155"/>
      <c r="AE107" s="155"/>
      <c r="AF107" s="155"/>
      <c r="AG107" s="155"/>
      <c r="AH107" s="155"/>
      <c r="AI107" s="155"/>
      <c r="AJ107" s="155"/>
    </row>
    <row r="108" spans="1:36" ht="15.6" customHeight="1" x14ac:dyDescent="0.25">
      <c r="A108" s="197"/>
      <c r="B108" s="277" t="s">
        <v>503</v>
      </c>
      <c r="C108" s="790"/>
      <c r="D108" s="791"/>
      <c r="E108" s="378"/>
      <c r="F108" s="633" t="s">
        <v>84</v>
      </c>
      <c r="G108" s="634"/>
      <c r="H108" s="379"/>
      <c r="I108" s="379"/>
      <c r="J108" s="279"/>
      <c r="K108" s="279"/>
      <c r="L108" s="279"/>
      <c r="M108" s="285"/>
      <c r="N108" s="194"/>
      <c r="O108" s="70">
        <f>IF(OR(E108&lt;&gt;0,H108&lt;&gt;0,I108&lt;&gt;0,J108&lt;&gt;0,K108&lt;&gt;0,L108&lt;&gt;0,M108&lt;&gt;0),1,0)</f>
        <v>0</v>
      </c>
      <c r="P108" s="70">
        <f>IF(AND(C108="",O108=1),1,0)</f>
        <v>0</v>
      </c>
      <c r="Q108" s="70">
        <f t="shared" ref="Q108:Q123" si="56">IF(C108=$T$28,1,0)</f>
        <v>0</v>
      </c>
      <c r="R108" s="70">
        <f>IF(C108=$T$30,1,0)</f>
        <v>0</v>
      </c>
      <c r="S108"/>
      <c r="U108" s="155"/>
      <c r="V108" s="200" t="str">
        <f t="shared" ref="V108:V137" si="57">B108</f>
        <v>Podnik 1.</v>
      </c>
      <c r="W108" s="201">
        <f t="shared" ref="W108:W123" si="58">IF(C108="",0,IF(C108=$T$28,0,1))</f>
        <v>0</v>
      </c>
      <c r="X108" s="200">
        <f t="shared" ref="X108" si="59">IF(C108=$T$28,E108,0)</f>
        <v>0</v>
      </c>
      <c r="Y108" s="70">
        <f t="shared" ref="Y108" si="60">IF(C108=$T$30,E108,0)</f>
        <v>0</v>
      </c>
      <c r="Z108" s="200">
        <f t="shared" ref="Z108" si="61">IF(C108=$T$28,J108,0)</f>
        <v>0</v>
      </c>
      <c r="AA108" s="200">
        <f t="shared" ref="AA108" si="62">IF(C108=$T$30,J108,0)</f>
        <v>0</v>
      </c>
      <c r="AB108" s="200">
        <f t="shared" ref="AB108" si="63">IF(C108=$T$28,K108,0)</f>
        <v>0</v>
      </c>
      <c r="AC108" s="200">
        <f t="shared" ref="AC108" si="64">IF(C108=$T$30,K108,0)</f>
        <v>0</v>
      </c>
      <c r="AD108" s="200">
        <f t="shared" ref="AD108" si="65">IF(C108=$T$28,L108,0)</f>
        <v>0</v>
      </c>
      <c r="AE108" s="200">
        <f t="shared" ref="AE108" si="66">IF(C108=$T$30,L108,0)</f>
        <v>0</v>
      </c>
      <c r="AF108" s="200">
        <f t="shared" ref="AF108" si="67">IF(C108=$T$28,M108,0)</f>
        <v>0</v>
      </c>
      <c r="AG108" s="200">
        <f t="shared" ref="AG108" si="68">IF(C108=$T$30,M108,0)</f>
        <v>0</v>
      </c>
      <c r="AH108" s="155"/>
      <c r="AI108" s="155"/>
      <c r="AJ108" s="155"/>
    </row>
    <row r="109" spans="1:36" ht="15.6" customHeight="1" x14ac:dyDescent="0.25">
      <c r="A109" s="197"/>
      <c r="B109" s="281" t="s">
        <v>504</v>
      </c>
      <c r="C109" s="603"/>
      <c r="D109" s="604"/>
      <c r="E109" s="287"/>
      <c r="F109" s="635"/>
      <c r="G109" s="636"/>
      <c r="H109" s="286"/>
      <c r="I109" s="286"/>
      <c r="J109" s="1"/>
      <c r="K109" s="1"/>
      <c r="L109" s="1"/>
      <c r="M109" s="2"/>
      <c r="N109" s="194"/>
      <c r="O109" s="70">
        <f t="shared" ref="O109:O123" si="69">IF(OR(E109&lt;&gt;0,H109&lt;&gt;0,I109&lt;&gt;0,J109&lt;&gt;0,K109&lt;&gt;0,L109&lt;&gt;0,M109&lt;&gt;0),1,0)</f>
        <v>0</v>
      </c>
      <c r="P109" s="70">
        <f t="shared" ref="P109:P123" si="70">IF(AND(C109="",O109=1),1,0)</f>
        <v>0</v>
      </c>
      <c r="Q109" s="70">
        <f t="shared" si="56"/>
        <v>0</v>
      </c>
      <c r="R109" s="70">
        <f t="shared" ref="R109:R123" si="71">IF(C109=$T$30,1,0)</f>
        <v>0</v>
      </c>
      <c r="S109"/>
      <c r="U109" s="155"/>
      <c r="V109" s="200" t="str">
        <f t="shared" si="57"/>
        <v>Podnik 2.</v>
      </c>
      <c r="W109" s="201">
        <f t="shared" si="58"/>
        <v>0</v>
      </c>
      <c r="X109" s="200">
        <f t="shared" ref="X109:X124" si="72">IF(C109=$T$28,E109,0)</f>
        <v>0</v>
      </c>
      <c r="Y109" s="70">
        <f t="shared" ref="Y109:Y124" si="73">IF(C109=$T$30,E109,0)</f>
        <v>0</v>
      </c>
      <c r="Z109" s="200">
        <f t="shared" ref="Z109:Z124" si="74">IF(C109=$T$28,J109,0)</f>
        <v>0</v>
      </c>
      <c r="AA109" s="200">
        <f t="shared" ref="AA109:AA124" si="75">IF(C109=$T$30,J109,0)</f>
        <v>0</v>
      </c>
      <c r="AB109" s="200">
        <f t="shared" ref="AB109:AB124" si="76">IF(C109=$T$28,K109,0)</f>
        <v>0</v>
      </c>
      <c r="AC109" s="200">
        <f t="shared" ref="AC109:AC124" si="77">IF(C109=$T$30,K109,0)</f>
        <v>0</v>
      </c>
      <c r="AD109" s="200">
        <f t="shared" ref="AD109:AD124" si="78">IF(C109=$T$28,L109,0)</f>
        <v>0</v>
      </c>
      <c r="AE109" s="200">
        <f t="shared" ref="AE109:AE124" si="79">IF(C109=$T$30,L109,0)</f>
        <v>0</v>
      </c>
      <c r="AF109" s="200">
        <f t="shared" ref="AF109:AF124" si="80">IF(C109=$T$28,M109,0)</f>
        <v>0</v>
      </c>
      <c r="AG109" s="200">
        <f t="shared" ref="AG109:AG124" si="81">IF(C109=$T$30,M109,0)</f>
        <v>0</v>
      </c>
      <c r="AH109" s="155"/>
      <c r="AI109" s="155"/>
      <c r="AJ109" s="155"/>
    </row>
    <row r="110" spans="1:36" ht="15.6" customHeight="1" x14ac:dyDescent="0.25">
      <c r="A110" s="197"/>
      <c r="B110" s="281" t="s">
        <v>505</v>
      </c>
      <c r="C110" s="615"/>
      <c r="D110" s="616"/>
      <c r="E110" s="287"/>
      <c r="F110" s="635"/>
      <c r="G110" s="636"/>
      <c r="H110" s="286"/>
      <c r="I110" s="286"/>
      <c r="J110" s="286"/>
      <c r="K110" s="286"/>
      <c r="L110" s="1"/>
      <c r="M110" s="2"/>
      <c r="N110" s="194"/>
      <c r="O110" s="70">
        <f t="shared" si="69"/>
        <v>0</v>
      </c>
      <c r="P110" s="70">
        <f t="shared" si="70"/>
        <v>0</v>
      </c>
      <c r="Q110" s="70">
        <f t="shared" si="56"/>
        <v>0</v>
      </c>
      <c r="R110" s="70">
        <f t="shared" si="71"/>
        <v>0</v>
      </c>
      <c r="S110"/>
      <c r="U110" s="155"/>
      <c r="V110" s="200" t="str">
        <f t="shared" si="57"/>
        <v>Podnik 3.</v>
      </c>
      <c r="W110" s="201">
        <f t="shared" si="58"/>
        <v>0</v>
      </c>
      <c r="X110" s="200">
        <f t="shared" si="72"/>
        <v>0</v>
      </c>
      <c r="Y110" s="70">
        <f t="shared" si="73"/>
        <v>0</v>
      </c>
      <c r="Z110" s="200">
        <f t="shared" si="74"/>
        <v>0</v>
      </c>
      <c r="AA110" s="200">
        <f t="shared" si="75"/>
        <v>0</v>
      </c>
      <c r="AB110" s="200">
        <f t="shared" si="76"/>
        <v>0</v>
      </c>
      <c r="AC110" s="200">
        <f t="shared" si="77"/>
        <v>0</v>
      </c>
      <c r="AD110" s="200">
        <f t="shared" si="78"/>
        <v>0</v>
      </c>
      <c r="AE110" s="200">
        <f t="shared" si="79"/>
        <v>0</v>
      </c>
      <c r="AF110" s="200">
        <f t="shared" si="80"/>
        <v>0</v>
      </c>
      <c r="AG110" s="200">
        <f t="shared" si="81"/>
        <v>0</v>
      </c>
      <c r="AH110" s="155"/>
      <c r="AI110" s="155"/>
      <c r="AJ110" s="155"/>
    </row>
    <row r="111" spans="1:36" ht="15.6" customHeight="1" x14ac:dyDescent="0.25">
      <c r="A111" s="197"/>
      <c r="B111" s="281" t="s">
        <v>506</v>
      </c>
      <c r="C111" s="603"/>
      <c r="D111" s="604"/>
      <c r="E111" s="287"/>
      <c r="F111" s="635"/>
      <c r="G111" s="636"/>
      <c r="H111" s="286"/>
      <c r="I111" s="286"/>
      <c r="J111" s="286"/>
      <c r="K111" s="286"/>
      <c r="L111" s="1"/>
      <c r="M111" s="2"/>
      <c r="N111" s="194"/>
      <c r="O111" s="70">
        <f t="shared" si="69"/>
        <v>0</v>
      </c>
      <c r="P111" s="70">
        <f t="shared" si="70"/>
        <v>0</v>
      </c>
      <c r="Q111" s="70">
        <f t="shared" si="56"/>
        <v>0</v>
      </c>
      <c r="R111" s="70">
        <f t="shared" si="71"/>
        <v>0</v>
      </c>
      <c r="S111"/>
      <c r="U111" s="155"/>
      <c r="V111" s="200" t="str">
        <f t="shared" si="57"/>
        <v>Podnik 4.</v>
      </c>
      <c r="W111" s="201">
        <f t="shared" si="58"/>
        <v>0</v>
      </c>
      <c r="X111" s="200">
        <f t="shared" si="72"/>
        <v>0</v>
      </c>
      <c r="Y111" s="70">
        <f t="shared" si="73"/>
        <v>0</v>
      </c>
      <c r="Z111" s="200">
        <f t="shared" si="74"/>
        <v>0</v>
      </c>
      <c r="AA111" s="200">
        <f t="shared" si="75"/>
        <v>0</v>
      </c>
      <c r="AB111" s="200">
        <f t="shared" si="76"/>
        <v>0</v>
      </c>
      <c r="AC111" s="200">
        <f t="shared" si="77"/>
        <v>0</v>
      </c>
      <c r="AD111" s="200">
        <f t="shared" si="78"/>
        <v>0</v>
      </c>
      <c r="AE111" s="200">
        <f t="shared" si="79"/>
        <v>0</v>
      </c>
      <c r="AF111" s="200">
        <f t="shared" si="80"/>
        <v>0</v>
      </c>
      <c r="AG111" s="200">
        <f t="shared" si="81"/>
        <v>0</v>
      </c>
      <c r="AH111" s="155"/>
      <c r="AI111" s="155"/>
      <c r="AJ111" s="155"/>
    </row>
    <row r="112" spans="1:36" ht="15.6" customHeight="1" x14ac:dyDescent="0.25">
      <c r="A112" s="197"/>
      <c r="B112" s="281" t="s">
        <v>507</v>
      </c>
      <c r="C112" s="615"/>
      <c r="D112" s="616"/>
      <c r="E112" s="287"/>
      <c r="F112" s="635"/>
      <c r="G112" s="636"/>
      <c r="H112" s="286"/>
      <c r="I112" s="286"/>
      <c r="J112" s="286"/>
      <c r="K112" s="286"/>
      <c r="L112" s="1"/>
      <c r="M112" s="2"/>
      <c r="N112" s="194"/>
      <c r="O112" s="70">
        <f t="shared" si="69"/>
        <v>0</v>
      </c>
      <c r="P112" s="70">
        <f t="shared" si="70"/>
        <v>0</v>
      </c>
      <c r="Q112" s="70">
        <f t="shared" si="56"/>
        <v>0</v>
      </c>
      <c r="R112" s="70">
        <f t="shared" si="71"/>
        <v>0</v>
      </c>
      <c r="S112"/>
      <c r="U112" s="155"/>
      <c r="V112" s="200" t="str">
        <f t="shared" si="57"/>
        <v>Podnik 5.</v>
      </c>
      <c r="W112" s="201">
        <f t="shared" si="58"/>
        <v>0</v>
      </c>
      <c r="X112" s="200">
        <f t="shared" si="72"/>
        <v>0</v>
      </c>
      <c r="Y112" s="70">
        <f t="shared" si="73"/>
        <v>0</v>
      </c>
      <c r="Z112" s="200">
        <f t="shared" si="74"/>
        <v>0</v>
      </c>
      <c r="AA112" s="200">
        <f t="shared" si="75"/>
        <v>0</v>
      </c>
      <c r="AB112" s="200">
        <f t="shared" si="76"/>
        <v>0</v>
      </c>
      <c r="AC112" s="200">
        <f t="shared" si="77"/>
        <v>0</v>
      </c>
      <c r="AD112" s="200">
        <f t="shared" si="78"/>
        <v>0</v>
      </c>
      <c r="AE112" s="200">
        <f t="shared" si="79"/>
        <v>0</v>
      </c>
      <c r="AF112" s="200">
        <f t="shared" si="80"/>
        <v>0</v>
      </c>
      <c r="AG112" s="200">
        <f t="shared" si="81"/>
        <v>0</v>
      </c>
      <c r="AH112" s="155"/>
      <c r="AI112" s="155"/>
      <c r="AJ112" s="155"/>
    </row>
    <row r="113" spans="1:36" ht="15.6" customHeight="1" x14ac:dyDescent="0.25">
      <c r="A113" s="197"/>
      <c r="B113" s="281" t="s">
        <v>508</v>
      </c>
      <c r="C113" s="603"/>
      <c r="D113" s="604"/>
      <c r="E113" s="287"/>
      <c r="F113" s="635"/>
      <c r="G113" s="636"/>
      <c r="H113" s="286"/>
      <c r="I113" s="286"/>
      <c r="J113" s="286"/>
      <c r="K113" s="286"/>
      <c r="L113" s="1"/>
      <c r="M113" s="2"/>
      <c r="N113" s="194"/>
      <c r="O113" s="70">
        <f t="shared" si="69"/>
        <v>0</v>
      </c>
      <c r="P113" s="70">
        <f t="shared" si="70"/>
        <v>0</v>
      </c>
      <c r="Q113" s="70">
        <f t="shared" si="56"/>
        <v>0</v>
      </c>
      <c r="R113" s="70">
        <f t="shared" si="71"/>
        <v>0</v>
      </c>
      <c r="S113"/>
      <c r="U113" s="155"/>
      <c r="V113" s="200" t="str">
        <f t="shared" si="57"/>
        <v>Podnik 6.</v>
      </c>
      <c r="W113" s="201">
        <f t="shared" si="58"/>
        <v>0</v>
      </c>
      <c r="X113" s="200">
        <f t="shared" si="72"/>
        <v>0</v>
      </c>
      <c r="Y113" s="70">
        <f t="shared" si="73"/>
        <v>0</v>
      </c>
      <c r="Z113" s="200">
        <f t="shared" si="74"/>
        <v>0</v>
      </c>
      <c r="AA113" s="200">
        <f t="shared" si="75"/>
        <v>0</v>
      </c>
      <c r="AB113" s="200">
        <f t="shared" si="76"/>
        <v>0</v>
      </c>
      <c r="AC113" s="200">
        <f t="shared" si="77"/>
        <v>0</v>
      </c>
      <c r="AD113" s="200">
        <f t="shared" si="78"/>
        <v>0</v>
      </c>
      <c r="AE113" s="200">
        <f t="shared" si="79"/>
        <v>0</v>
      </c>
      <c r="AF113" s="200">
        <f t="shared" si="80"/>
        <v>0</v>
      </c>
      <c r="AG113" s="200">
        <f t="shared" si="81"/>
        <v>0</v>
      </c>
      <c r="AH113" s="155"/>
      <c r="AI113" s="155"/>
      <c r="AJ113" s="155"/>
    </row>
    <row r="114" spans="1:36" ht="15.6" customHeight="1" x14ac:dyDescent="0.25">
      <c r="A114" s="197"/>
      <c r="B114" s="281" t="s">
        <v>509</v>
      </c>
      <c r="C114" s="615"/>
      <c r="D114" s="616"/>
      <c r="E114" s="287"/>
      <c r="F114" s="635"/>
      <c r="G114" s="636"/>
      <c r="H114" s="286"/>
      <c r="I114" s="286"/>
      <c r="J114" s="286"/>
      <c r="K114" s="286"/>
      <c r="L114" s="1"/>
      <c r="M114" s="2"/>
      <c r="N114" s="194"/>
      <c r="O114" s="70">
        <f t="shared" si="69"/>
        <v>0</v>
      </c>
      <c r="P114" s="70">
        <f t="shared" si="70"/>
        <v>0</v>
      </c>
      <c r="Q114" s="70">
        <f t="shared" si="56"/>
        <v>0</v>
      </c>
      <c r="R114" s="70">
        <f t="shared" si="71"/>
        <v>0</v>
      </c>
      <c r="S114"/>
      <c r="U114" s="155"/>
      <c r="V114" s="200" t="str">
        <f t="shared" si="57"/>
        <v>Podnik 7.</v>
      </c>
      <c r="W114" s="201">
        <f t="shared" si="58"/>
        <v>0</v>
      </c>
      <c r="X114" s="200">
        <f t="shared" si="72"/>
        <v>0</v>
      </c>
      <c r="Y114" s="70">
        <f t="shared" si="73"/>
        <v>0</v>
      </c>
      <c r="Z114" s="200">
        <f t="shared" si="74"/>
        <v>0</v>
      </c>
      <c r="AA114" s="200">
        <f t="shared" si="75"/>
        <v>0</v>
      </c>
      <c r="AB114" s="200">
        <f t="shared" si="76"/>
        <v>0</v>
      </c>
      <c r="AC114" s="200">
        <f t="shared" si="77"/>
        <v>0</v>
      </c>
      <c r="AD114" s="200">
        <f t="shared" si="78"/>
        <v>0</v>
      </c>
      <c r="AE114" s="200">
        <f t="shared" si="79"/>
        <v>0</v>
      </c>
      <c r="AF114" s="200">
        <f t="shared" si="80"/>
        <v>0</v>
      </c>
      <c r="AG114" s="200">
        <f t="shared" si="81"/>
        <v>0</v>
      </c>
      <c r="AH114" s="155"/>
      <c r="AI114" s="155"/>
      <c r="AJ114" s="155"/>
    </row>
    <row r="115" spans="1:36" ht="15.6" customHeight="1" x14ac:dyDescent="0.25">
      <c r="A115" s="197"/>
      <c r="B115" s="281" t="s">
        <v>510</v>
      </c>
      <c r="C115" s="603"/>
      <c r="D115" s="604"/>
      <c r="E115" s="287"/>
      <c r="F115" s="635"/>
      <c r="G115" s="636"/>
      <c r="H115" s="286"/>
      <c r="I115" s="286"/>
      <c r="J115" s="286"/>
      <c r="K115" s="286"/>
      <c r="L115" s="1"/>
      <c r="M115" s="2"/>
      <c r="N115" s="194"/>
      <c r="O115" s="70">
        <f t="shared" si="69"/>
        <v>0</v>
      </c>
      <c r="P115" s="70">
        <f t="shared" si="70"/>
        <v>0</v>
      </c>
      <c r="Q115" s="70">
        <f t="shared" si="56"/>
        <v>0</v>
      </c>
      <c r="R115" s="70">
        <f t="shared" si="71"/>
        <v>0</v>
      </c>
      <c r="S115"/>
      <c r="U115" s="155"/>
      <c r="V115" s="200" t="str">
        <f t="shared" si="57"/>
        <v>Podnik 8.</v>
      </c>
      <c r="W115" s="201">
        <f t="shared" si="58"/>
        <v>0</v>
      </c>
      <c r="X115" s="200">
        <f t="shared" si="72"/>
        <v>0</v>
      </c>
      <c r="Y115" s="70">
        <f t="shared" si="73"/>
        <v>0</v>
      </c>
      <c r="Z115" s="200">
        <f t="shared" si="74"/>
        <v>0</v>
      </c>
      <c r="AA115" s="200">
        <f t="shared" si="75"/>
        <v>0</v>
      </c>
      <c r="AB115" s="200">
        <f t="shared" si="76"/>
        <v>0</v>
      </c>
      <c r="AC115" s="200">
        <f t="shared" si="77"/>
        <v>0</v>
      </c>
      <c r="AD115" s="200">
        <f t="shared" si="78"/>
        <v>0</v>
      </c>
      <c r="AE115" s="200">
        <f t="shared" si="79"/>
        <v>0</v>
      </c>
      <c r="AF115" s="200">
        <f t="shared" si="80"/>
        <v>0</v>
      </c>
      <c r="AG115" s="200">
        <f t="shared" si="81"/>
        <v>0</v>
      </c>
      <c r="AH115" s="155"/>
      <c r="AI115" s="155"/>
      <c r="AJ115" s="155"/>
    </row>
    <row r="116" spans="1:36" ht="15.6" customHeight="1" x14ac:dyDescent="0.25">
      <c r="A116" s="197"/>
      <c r="B116" s="281" t="s">
        <v>511</v>
      </c>
      <c r="C116" s="615"/>
      <c r="D116" s="616"/>
      <c r="E116" s="287"/>
      <c r="F116" s="635"/>
      <c r="G116" s="636"/>
      <c r="H116" s="286"/>
      <c r="I116" s="286"/>
      <c r="J116" s="286"/>
      <c r="K116" s="286"/>
      <c r="L116" s="1"/>
      <c r="M116" s="2"/>
      <c r="N116" s="194"/>
      <c r="O116" s="70">
        <f t="shared" si="69"/>
        <v>0</v>
      </c>
      <c r="P116" s="70">
        <f t="shared" si="70"/>
        <v>0</v>
      </c>
      <c r="Q116" s="70">
        <f t="shared" si="56"/>
        <v>0</v>
      </c>
      <c r="R116" s="70">
        <f t="shared" si="71"/>
        <v>0</v>
      </c>
      <c r="S116"/>
      <c r="U116" s="155"/>
      <c r="V116" s="200" t="str">
        <f t="shared" si="57"/>
        <v>Podnik 9.</v>
      </c>
      <c r="W116" s="201">
        <f t="shared" si="58"/>
        <v>0</v>
      </c>
      <c r="X116" s="200">
        <f t="shared" si="72"/>
        <v>0</v>
      </c>
      <c r="Y116" s="70">
        <f t="shared" si="73"/>
        <v>0</v>
      </c>
      <c r="Z116" s="200">
        <f t="shared" si="74"/>
        <v>0</v>
      </c>
      <c r="AA116" s="200">
        <f t="shared" si="75"/>
        <v>0</v>
      </c>
      <c r="AB116" s="200">
        <f t="shared" si="76"/>
        <v>0</v>
      </c>
      <c r="AC116" s="200">
        <f t="shared" si="77"/>
        <v>0</v>
      </c>
      <c r="AD116" s="200">
        <f t="shared" si="78"/>
        <v>0</v>
      </c>
      <c r="AE116" s="200">
        <f t="shared" si="79"/>
        <v>0</v>
      </c>
      <c r="AF116" s="200">
        <f t="shared" si="80"/>
        <v>0</v>
      </c>
      <c r="AG116" s="200">
        <f t="shared" si="81"/>
        <v>0</v>
      </c>
      <c r="AH116" s="155"/>
      <c r="AI116" s="155"/>
      <c r="AJ116" s="155"/>
    </row>
    <row r="117" spans="1:36" ht="15.6" customHeight="1" x14ac:dyDescent="0.25">
      <c r="A117" s="197"/>
      <c r="B117" s="281" t="s">
        <v>512</v>
      </c>
      <c r="C117" s="603"/>
      <c r="D117" s="604"/>
      <c r="E117" s="287"/>
      <c r="F117" s="635"/>
      <c r="G117" s="636"/>
      <c r="H117" s="286"/>
      <c r="I117" s="286"/>
      <c r="J117" s="286"/>
      <c r="K117" s="286"/>
      <c r="L117" s="1"/>
      <c r="M117" s="2"/>
      <c r="N117" s="194"/>
      <c r="O117" s="70">
        <f t="shared" si="69"/>
        <v>0</v>
      </c>
      <c r="P117" s="70">
        <f t="shared" si="70"/>
        <v>0</v>
      </c>
      <c r="Q117" s="70">
        <f t="shared" si="56"/>
        <v>0</v>
      </c>
      <c r="R117" s="70">
        <f t="shared" si="71"/>
        <v>0</v>
      </c>
      <c r="S117"/>
      <c r="U117" s="155"/>
      <c r="V117" s="200" t="str">
        <f t="shared" si="57"/>
        <v>Podnik 10.</v>
      </c>
      <c r="W117" s="201">
        <f t="shared" si="58"/>
        <v>0</v>
      </c>
      <c r="X117" s="200">
        <f t="shared" si="72"/>
        <v>0</v>
      </c>
      <c r="Y117" s="70">
        <f t="shared" si="73"/>
        <v>0</v>
      </c>
      <c r="Z117" s="200">
        <f t="shared" si="74"/>
        <v>0</v>
      </c>
      <c r="AA117" s="200">
        <f t="shared" si="75"/>
        <v>0</v>
      </c>
      <c r="AB117" s="200">
        <f t="shared" si="76"/>
        <v>0</v>
      </c>
      <c r="AC117" s="200">
        <f t="shared" si="77"/>
        <v>0</v>
      </c>
      <c r="AD117" s="200">
        <f t="shared" si="78"/>
        <v>0</v>
      </c>
      <c r="AE117" s="200">
        <f t="shared" si="79"/>
        <v>0</v>
      </c>
      <c r="AF117" s="200">
        <f t="shared" si="80"/>
        <v>0</v>
      </c>
      <c r="AG117" s="200">
        <f t="shared" si="81"/>
        <v>0</v>
      </c>
      <c r="AH117" s="155"/>
      <c r="AI117" s="155"/>
      <c r="AJ117" s="155"/>
    </row>
    <row r="118" spans="1:36" ht="15.6" customHeight="1" x14ac:dyDescent="0.25">
      <c r="A118" s="197"/>
      <c r="B118" s="281" t="s">
        <v>517</v>
      </c>
      <c r="C118" s="615"/>
      <c r="D118" s="616"/>
      <c r="E118" s="287"/>
      <c r="F118" s="635"/>
      <c r="G118" s="636"/>
      <c r="H118" s="286"/>
      <c r="I118" s="286"/>
      <c r="J118" s="286"/>
      <c r="K118" s="286"/>
      <c r="L118" s="1"/>
      <c r="M118" s="2"/>
      <c r="N118" s="194"/>
      <c r="O118" s="70">
        <f t="shared" si="69"/>
        <v>0</v>
      </c>
      <c r="P118" s="70">
        <f t="shared" si="70"/>
        <v>0</v>
      </c>
      <c r="Q118" s="70">
        <f t="shared" si="56"/>
        <v>0</v>
      </c>
      <c r="R118" s="70">
        <f t="shared" si="71"/>
        <v>0</v>
      </c>
      <c r="S118"/>
      <c r="U118" s="155"/>
      <c r="V118" s="200" t="str">
        <f t="shared" si="57"/>
        <v>Podnik 11.</v>
      </c>
      <c r="W118" s="201">
        <f t="shared" si="58"/>
        <v>0</v>
      </c>
      <c r="X118" s="200">
        <f t="shared" si="72"/>
        <v>0</v>
      </c>
      <c r="Y118" s="70">
        <f t="shared" si="73"/>
        <v>0</v>
      </c>
      <c r="Z118" s="200">
        <f t="shared" si="74"/>
        <v>0</v>
      </c>
      <c r="AA118" s="200">
        <f t="shared" si="75"/>
        <v>0</v>
      </c>
      <c r="AB118" s="200">
        <f t="shared" si="76"/>
        <v>0</v>
      </c>
      <c r="AC118" s="200">
        <f t="shared" si="77"/>
        <v>0</v>
      </c>
      <c r="AD118" s="200">
        <f t="shared" si="78"/>
        <v>0</v>
      </c>
      <c r="AE118" s="200">
        <f t="shared" si="79"/>
        <v>0</v>
      </c>
      <c r="AF118" s="200">
        <f t="shared" si="80"/>
        <v>0</v>
      </c>
      <c r="AG118" s="200">
        <f t="shared" si="81"/>
        <v>0</v>
      </c>
      <c r="AH118" s="155"/>
      <c r="AI118" s="155"/>
      <c r="AJ118" s="155"/>
    </row>
    <row r="119" spans="1:36" ht="15.6" customHeight="1" x14ac:dyDescent="0.25">
      <c r="A119" s="197"/>
      <c r="B119" s="281" t="s">
        <v>519</v>
      </c>
      <c r="C119" s="603"/>
      <c r="D119" s="604"/>
      <c r="E119" s="287"/>
      <c r="F119" s="635"/>
      <c r="G119" s="636"/>
      <c r="H119" s="286"/>
      <c r="I119" s="286"/>
      <c r="J119" s="286"/>
      <c r="K119" s="286"/>
      <c r="L119" s="1"/>
      <c r="M119" s="2"/>
      <c r="N119" s="194"/>
      <c r="O119" s="70">
        <f t="shared" si="69"/>
        <v>0</v>
      </c>
      <c r="P119" s="70">
        <f t="shared" si="70"/>
        <v>0</v>
      </c>
      <c r="Q119" s="70">
        <f t="shared" si="56"/>
        <v>0</v>
      </c>
      <c r="R119" s="70">
        <f t="shared" si="71"/>
        <v>0</v>
      </c>
      <c r="S119"/>
      <c r="U119" s="155"/>
      <c r="V119" s="200" t="str">
        <f t="shared" si="57"/>
        <v>Podnik 12.</v>
      </c>
      <c r="W119" s="201">
        <f t="shared" si="58"/>
        <v>0</v>
      </c>
      <c r="X119" s="200">
        <f t="shared" si="72"/>
        <v>0</v>
      </c>
      <c r="Y119" s="70">
        <f t="shared" si="73"/>
        <v>0</v>
      </c>
      <c r="Z119" s="200">
        <f t="shared" si="74"/>
        <v>0</v>
      </c>
      <c r="AA119" s="200">
        <f t="shared" si="75"/>
        <v>0</v>
      </c>
      <c r="AB119" s="200">
        <f t="shared" si="76"/>
        <v>0</v>
      </c>
      <c r="AC119" s="200">
        <f t="shared" si="77"/>
        <v>0</v>
      </c>
      <c r="AD119" s="200">
        <f t="shared" si="78"/>
        <v>0</v>
      </c>
      <c r="AE119" s="200">
        <f t="shared" si="79"/>
        <v>0</v>
      </c>
      <c r="AF119" s="200">
        <f t="shared" si="80"/>
        <v>0</v>
      </c>
      <c r="AG119" s="200">
        <f t="shared" si="81"/>
        <v>0</v>
      </c>
      <c r="AH119" s="155"/>
      <c r="AI119" s="155"/>
      <c r="AJ119" s="155"/>
    </row>
    <row r="120" spans="1:36" ht="15.6" customHeight="1" x14ac:dyDescent="0.25">
      <c r="A120" s="197"/>
      <c r="B120" s="281" t="s">
        <v>518</v>
      </c>
      <c r="C120" s="615"/>
      <c r="D120" s="616"/>
      <c r="E120" s="287"/>
      <c r="F120" s="635"/>
      <c r="G120" s="636"/>
      <c r="H120" s="286"/>
      <c r="I120" s="286"/>
      <c r="J120" s="286"/>
      <c r="K120" s="286"/>
      <c r="L120" s="1"/>
      <c r="M120" s="2"/>
      <c r="N120" s="194"/>
      <c r="O120" s="70">
        <f t="shared" si="69"/>
        <v>0</v>
      </c>
      <c r="P120" s="70">
        <f t="shared" si="70"/>
        <v>0</v>
      </c>
      <c r="Q120" s="70">
        <f t="shared" si="56"/>
        <v>0</v>
      </c>
      <c r="R120" s="70">
        <f t="shared" si="71"/>
        <v>0</v>
      </c>
      <c r="S120"/>
      <c r="U120" s="155"/>
      <c r="V120" s="200" t="str">
        <f t="shared" si="57"/>
        <v>Podnik 13.</v>
      </c>
      <c r="W120" s="201">
        <f t="shared" si="58"/>
        <v>0</v>
      </c>
      <c r="X120" s="200">
        <f t="shared" si="72"/>
        <v>0</v>
      </c>
      <c r="Y120" s="70">
        <f t="shared" si="73"/>
        <v>0</v>
      </c>
      <c r="Z120" s="200">
        <f t="shared" si="74"/>
        <v>0</v>
      </c>
      <c r="AA120" s="200">
        <f t="shared" si="75"/>
        <v>0</v>
      </c>
      <c r="AB120" s="200">
        <f t="shared" si="76"/>
        <v>0</v>
      </c>
      <c r="AC120" s="200">
        <f t="shared" si="77"/>
        <v>0</v>
      </c>
      <c r="AD120" s="200">
        <f t="shared" si="78"/>
        <v>0</v>
      </c>
      <c r="AE120" s="200">
        <f t="shared" si="79"/>
        <v>0</v>
      </c>
      <c r="AF120" s="200">
        <f t="shared" si="80"/>
        <v>0</v>
      </c>
      <c r="AG120" s="200">
        <f t="shared" si="81"/>
        <v>0</v>
      </c>
      <c r="AH120" s="155"/>
      <c r="AI120" s="155"/>
      <c r="AJ120" s="155"/>
    </row>
    <row r="121" spans="1:36" ht="15.6" customHeight="1" x14ac:dyDescent="0.25">
      <c r="A121" s="197"/>
      <c r="B121" s="281" t="s">
        <v>520</v>
      </c>
      <c r="C121" s="615"/>
      <c r="D121" s="616"/>
      <c r="E121" s="287"/>
      <c r="F121" s="635"/>
      <c r="G121" s="636"/>
      <c r="H121" s="286"/>
      <c r="I121" s="286"/>
      <c r="J121" s="286"/>
      <c r="K121" s="286"/>
      <c r="L121" s="1"/>
      <c r="M121" s="2"/>
      <c r="N121" s="194"/>
      <c r="O121" s="70">
        <f t="shared" si="69"/>
        <v>0</v>
      </c>
      <c r="P121" s="70">
        <f t="shared" si="70"/>
        <v>0</v>
      </c>
      <c r="Q121" s="70">
        <f t="shared" si="56"/>
        <v>0</v>
      </c>
      <c r="R121" s="70">
        <f t="shared" si="71"/>
        <v>0</v>
      </c>
      <c r="S121"/>
      <c r="U121" s="155"/>
      <c r="V121" s="200" t="str">
        <f t="shared" si="57"/>
        <v>Podnik 14.</v>
      </c>
      <c r="W121" s="201">
        <f t="shared" si="58"/>
        <v>0</v>
      </c>
      <c r="X121" s="200">
        <f t="shared" si="72"/>
        <v>0</v>
      </c>
      <c r="Y121" s="70">
        <f t="shared" si="73"/>
        <v>0</v>
      </c>
      <c r="Z121" s="200">
        <f t="shared" si="74"/>
        <v>0</v>
      </c>
      <c r="AA121" s="200">
        <f t="shared" si="75"/>
        <v>0</v>
      </c>
      <c r="AB121" s="200">
        <f t="shared" si="76"/>
        <v>0</v>
      </c>
      <c r="AC121" s="200">
        <f t="shared" si="77"/>
        <v>0</v>
      </c>
      <c r="AD121" s="200">
        <f t="shared" si="78"/>
        <v>0</v>
      </c>
      <c r="AE121" s="200">
        <f t="shared" si="79"/>
        <v>0</v>
      </c>
      <c r="AF121" s="200">
        <f t="shared" si="80"/>
        <v>0</v>
      </c>
      <c r="AG121" s="200">
        <f t="shared" si="81"/>
        <v>0</v>
      </c>
      <c r="AH121" s="155"/>
      <c r="AI121" s="155"/>
      <c r="AJ121" s="155"/>
    </row>
    <row r="122" spans="1:36" ht="15.6" customHeight="1" x14ac:dyDescent="0.25">
      <c r="A122" s="197"/>
      <c r="B122" s="281" t="s">
        <v>521</v>
      </c>
      <c r="C122" s="615"/>
      <c r="D122" s="616"/>
      <c r="E122" s="287"/>
      <c r="F122" s="635"/>
      <c r="G122" s="636"/>
      <c r="H122" s="286"/>
      <c r="I122" s="286"/>
      <c r="J122" s="286"/>
      <c r="K122" s="286"/>
      <c r="L122" s="1"/>
      <c r="M122" s="2"/>
      <c r="N122" s="194"/>
      <c r="O122" s="70">
        <f t="shared" si="69"/>
        <v>0</v>
      </c>
      <c r="P122" s="70">
        <f t="shared" si="70"/>
        <v>0</v>
      </c>
      <c r="Q122" s="70">
        <f t="shared" si="56"/>
        <v>0</v>
      </c>
      <c r="R122" s="70">
        <f t="shared" si="71"/>
        <v>0</v>
      </c>
      <c r="S122"/>
      <c r="U122" s="155"/>
      <c r="V122" s="200" t="str">
        <f t="shared" si="57"/>
        <v>Podnik 15.</v>
      </c>
      <c r="W122" s="201">
        <f t="shared" si="58"/>
        <v>0</v>
      </c>
      <c r="X122" s="200">
        <f t="shared" si="72"/>
        <v>0</v>
      </c>
      <c r="Y122" s="70">
        <f t="shared" si="73"/>
        <v>0</v>
      </c>
      <c r="Z122" s="200">
        <f t="shared" si="74"/>
        <v>0</v>
      </c>
      <c r="AA122" s="200">
        <f t="shared" si="75"/>
        <v>0</v>
      </c>
      <c r="AB122" s="200">
        <f t="shared" si="76"/>
        <v>0</v>
      </c>
      <c r="AC122" s="200">
        <f t="shared" si="77"/>
        <v>0</v>
      </c>
      <c r="AD122" s="200">
        <f t="shared" si="78"/>
        <v>0</v>
      </c>
      <c r="AE122" s="200">
        <f t="shared" si="79"/>
        <v>0</v>
      </c>
      <c r="AF122" s="200">
        <f t="shared" si="80"/>
        <v>0</v>
      </c>
      <c r="AG122" s="200">
        <f t="shared" si="81"/>
        <v>0</v>
      </c>
      <c r="AH122" s="155"/>
      <c r="AI122" s="155"/>
      <c r="AJ122" s="155"/>
    </row>
    <row r="123" spans="1:36" ht="15.6" customHeight="1" x14ac:dyDescent="0.25">
      <c r="A123" s="197"/>
      <c r="B123" s="281" t="s">
        <v>522</v>
      </c>
      <c r="C123" s="615"/>
      <c r="D123" s="616"/>
      <c r="E123" s="287"/>
      <c r="F123" s="635"/>
      <c r="G123" s="636"/>
      <c r="H123" s="286"/>
      <c r="I123" s="286"/>
      <c r="J123" s="286"/>
      <c r="K123" s="286"/>
      <c r="L123" s="1"/>
      <c r="M123" s="2"/>
      <c r="N123" s="194"/>
      <c r="O123" s="70">
        <f t="shared" si="69"/>
        <v>0</v>
      </c>
      <c r="P123" s="70">
        <f t="shared" si="70"/>
        <v>0</v>
      </c>
      <c r="Q123" s="70">
        <f t="shared" si="56"/>
        <v>0</v>
      </c>
      <c r="R123" s="70">
        <f t="shared" si="71"/>
        <v>0</v>
      </c>
      <c r="V123" s="200" t="str">
        <f t="shared" si="57"/>
        <v>Podnik 16.</v>
      </c>
      <c r="W123" s="201">
        <f t="shared" si="58"/>
        <v>0</v>
      </c>
      <c r="X123" s="200">
        <f t="shared" si="72"/>
        <v>0</v>
      </c>
      <c r="Y123" s="70">
        <f t="shared" si="73"/>
        <v>0</v>
      </c>
      <c r="Z123" s="200">
        <f t="shared" si="74"/>
        <v>0</v>
      </c>
      <c r="AA123" s="200">
        <f t="shared" si="75"/>
        <v>0</v>
      </c>
      <c r="AB123" s="200">
        <f t="shared" si="76"/>
        <v>0</v>
      </c>
      <c r="AC123" s="200">
        <f t="shared" si="77"/>
        <v>0</v>
      </c>
      <c r="AD123" s="200">
        <f t="shared" si="78"/>
        <v>0</v>
      </c>
      <c r="AE123" s="200">
        <f t="shared" si="79"/>
        <v>0</v>
      </c>
      <c r="AF123" s="200">
        <f t="shared" si="80"/>
        <v>0</v>
      </c>
      <c r="AG123" s="200">
        <f t="shared" si="81"/>
        <v>0</v>
      </c>
    </row>
    <row r="124" spans="1:36" ht="15.6" customHeight="1" x14ac:dyDescent="0.25">
      <c r="A124" s="197"/>
      <c r="B124" s="281" t="s">
        <v>523</v>
      </c>
      <c r="C124" s="603"/>
      <c r="D124" s="604"/>
      <c r="E124" s="287"/>
      <c r="F124" s="635"/>
      <c r="G124" s="636"/>
      <c r="H124" s="286"/>
      <c r="I124" s="286"/>
      <c r="J124" s="286"/>
      <c r="K124" s="286"/>
      <c r="L124" s="1"/>
      <c r="M124" s="2"/>
      <c r="N124" s="194"/>
      <c r="O124" s="70">
        <f>IF(OR(E124&lt;&gt;0,H124&lt;&gt;0,I124&lt;&gt;0,J124&lt;&gt;0,K124&lt;&gt;0,L124&lt;&gt;0,M124&lt;&gt;0),1,0)</f>
        <v>0</v>
      </c>
      <c r="P124" s="70">
        <f>IF(AND(C124="",O124=1),1,0)</f>
        <v>0</v>
      </c>
      <c r="Q124" s="70">
        <f t="shared" ref="Q124:Q137" si="82">IF(C124=$T$28,1,0)</f>
        <v>0</v>
      </c>
      <c r="R124" s="70">
        <f>IF(C124=$T$30,1,0)</f>
        <v>0</v>
      </c>
      <c r="V124" s="200" t="str">
        <f t="shared" si="57"/>
        <v>Podnik 17.</v>
      </c>
      <c r="W124" s="201">
        <f t="shared" ref="W124:W137" si="83">IF(C124="",0,IF(C124=$T$28,0,1))</f>
        <v>0</v>
      </c>
      <c r="X124" s="200">
        <f t="shared" si="72"/>
        <v>0</v>
      </c>
      <c r="Y124" s="70">
        <f t="shared" si="73"/>
        <v>0</v>
      </c>
      <c r="Z124" s="200">
        <f t="shared" si="74"/>
        <v>0</v>
      </c>
      <c r="AA124" s="200">
        <f t="shared" si="75"/>
        <v>0</v>
      </c>
      <c r="AB124" s="200">
        <f t="shared" si="76"/>
        <v>0</v>
      </c>
      <c r="AC124" s="200">
        <f t="shared" si="77"/>
        <v>0</v>
      </c>
      <c r="AD124" s="200">
        <f t="shared" si="78"/>
        <v>0</v>
      </c>
      <c r="AE124" s="200">
        <f t="shared" si="79"/>
        <v>0</v>
      </c>
      <c r="AF124" s="200">
        <f t="shared" si="80"/>
        <v>0</v>
      </c>
      <c r="AG124" s="200">
        <f t="shared" si="81"/>
        <v>0</v>
      </c>
    </row>
    <row r="125" spans="1:36" ht="15" customHeight="1" x14ac:dyDescent="0.25">
      <c r="A125" s="197"/>
      <c r="B125" s="281" t="s">
        <v>524</v>
      </c>
      <c r="C125" s="603"/>
      <c r="D125" s="604"/>
      <c r="E125" s="287"/>
      <c r="F125" s="635"/>
      <c r="G125" s="636"/>
      <c r="H125" s="286"/>
      <c r="I125" s="286"/>
      <c r="J125" s="286"/>
      <c r="K125" s="286"/>
      <c r="L125" s="1"/>
      <c r="M125" s="2"/>
      <c r="N125" s="194"/>
      <c r="O125" s="70">
        <f t="shared" ref="O125:O137" si="84">IF(OR(E125&lt;&gt;0,H125&lt;&gt;0,I125&lt;&gt;0,J125&lt;&gt;0,K125&lt;&gt;0,L125&lt;&gt;0,M125&lt;&gt;0),1,0)</f>
        <v>0</v>
      </c>
      <c r="P125" s="70">
        <f t="shared" ref="P125:P137" si="85">IF(AND(C125="",O125=1),1,0)</f>
        <v>0</v>
      </c>
      <c r="Q125" s="70">
        <f t="shared" si="82"/>
        <v>0</v>
      </c>
      <c r="R125" s="70">
        <f t="shared" ref="R125:R137" si="86">IF(C125=$T$30,1,0)</f>
        <v>0</v>
      </c>
      <c r="V125" s="200" t="str">
        <f t="shared" si="57"/>
        <v>Podnik 18.</v>
      </c>
      <c r="W125" s="201">
        <f t="shared" si="83"/>
        <v>0</v>
      </c>
      <c r="X125" s="200">
        <f t="shared" ref="X125:X137" si="87">IF(C125=$T$28,E125,0)</f>
        <v>0</v>
      </c>
      <c r="Y125" s="70">
        <f t="shared" ref="Y125:Y137" si="88">IF(C125=$T$30,E125,0)</f>
        <v>0</v>
      </c>
      <c r="Z125" s="200">
        <f t="shared" ref="Z125:Z137" si="89">IF(C125=$T$28,J125,0)</f>
        <v>0</v>
      </c>
      <c r="AA125" s="200">
        <f t="shared" ref="AA125:AA137" si="90">IF(C125=$T$30,J125,0)</f>
        <v>0</v>
      </c>
      <c r="AB125" s="200">
        <f t="shared" ref="AB125:AB137" si="91">IF(C125=$T$28,K125,0)</f>
        <v>0</v>
      </c>
      <c r="AC125" s="200">
        <f t="shared" ref="AC125:AC137" si="92">IF(C125=$T$30,K125,0)</f>
        <v>0</v>
      </c>
      <c r="AD125" s="200">
        <f t="shared" ref="AD125:AD137" si="93">IF(C125=$T$28,L125,0)</f>
        <v>0</v>
      </c>
      <c r="AE125" s="200">
        <f t="shared" ref="AE125:AE137" si="94">IF(C125=$T$30,L125,0)</f>
        <v>0</v>
      </c>
      <c r="AF125" s="200">
        <f t="shared" ref="AF125:AF137" si="95">IF(C125=$T$28,M125,0)</f>
        <v>0</v>
      </c>
      <c r="AG125" s="200">
        <f t="shared" ref="AG125:AG137" si="96">IF(C125=$T$30,M125,0)</f>
        <v>0</v>
      </c>
    </row>
    <row r="126" spans="1:36" ht="15.6" customHeight="1" x14ac:dyDescent="0.25">
      <c r="A126" s="197"/>
      <c r="B126" s="281" t="s">
        <v>525</v>
      </c>
      <c r="C126" s="603"/>
      <c r="D126" s="604"/>
      <c r="E126" s="287"/>
      <c r="F126" s="635"/>
      <c r="G126" s="636"/>
      <c r="H126" s="286"/>
      <c r="I126" s="286"/>
      <c r="J126" s="286"/>
      <c r="K126" s="286"/>
      <c r="L126" s="1"/>
      <c r="M126" s="2"/>
      <c r="N126" s="194"/>
      <c r="O126" s="70">
        <f t="shared" si="84"/>
        <v>0</v>
      </c>
      <c r="P126" s="70">
        <f t="shared" si="85"/>
        <v>0</v>
      </c>
      <c r="Q126" s="70">
        <f t="shared" si="82"/>
        <v>0</v>
      </c>
      <c r="R126" s="70">
        <f t="shared" si="86"/>
        <v>0</v>
      </c>
      <c r="V126" s="200" t="str">
        <f t="shared" si="57"/>
        <v>Podnik 19.</v>
      </c>
      <c r="W126" s="201">
        <f t="shared" si="83"/>
        <v>0</v>
      </c>
      <c r="X126" s="200">
        <f t="shared" si="87"/>
        <v>0</v>
      </c>
      <c r="Y126" s="70">
        <f t="shared" si="88"/>
        <v>0</v>
      </c>
      <c r="Z126" s="200">
        <f t="shared" si="89"/>
        <v>0</v>
      </c>
      <c r="AA126" s="200">
        <f t="shared" si="90"/>
        <v>0</v>
      </c>
      <c r="AB126" s="200">
        <f t="shared" si="91"/>
        <v>0</v>
      </c>
      <c r="AC126" s="200">
        <f t="shared" si="92"/>
        <v>0</v>
      </c>
      <c r="AD126" s="200">
        <f t="shared" si="93"/>
        <v>0</v>
      </c>
      <c r="AE126" s="200">
        <f t="shared" si="94"/>
        <v>0</v>
      </c>
      <c r="AF126" s="200">
        <f t="shared" si="95"/>
        <v>0</v>
      </c>
      <c r="AG126" s="200">
        <f t="shared" si="96"/>
        <v>0</v>
      </c>
    </row>
    <row r="127" spans="1:36" ht="15.6" customHeight="1" x14ac:dyDescent="0.25">
      <c r="A127" s="197"/>
      <c r="B127" s="281" t="s">
        <v>526</v>
      </c>
      <c r="C127" s="603"/>
      <c r="D127" s="604"/>
      <c r="E127" s="287"/>
      <c r="F127" s="635"/>
      <c r="G127" s="636"/>
      <c r="H127" s="286"/>
      <c r="I127" s="286"/>
      <c r="J127" s="286"/>
      <c r="K127" s="286"/>
      <c r="L127" s="1"/>
      <c r="M127" s="2"/>
      <c r="N127" s="194"/>
      <c r="O127" s="70">
        <f t="shared" si="84"/>
        <v>0</v>
      </c>
      <c r="P127" s="70">
        <f t="shared" si="85"/>
        <v>0</v>
      </c>
      <c r="Q127" s="70">
        <f t="shared" si="82"/>
        <v>0</v>
      </c>
      <c r="R127" s="70">
        <f t="shared" si="86"/>
        <v>0</v>
      </c>
      <c r="V127" s="200" t="str">
        <f t="shared" si="57"/>
        <v>Podnik 20.</v>
      </c>
      <c r="W127" s="201">
        <f t="shared" si="83"/>
        <v>0</v>
      </c>
      <c r="X127" s="200">
        <f t="shared" si="87"/>
        <v>0</v>
      </c>
      <c r="Y127" s="70">
        <f t="shared" si="88"/>
        <v>0</v>
      </c>
      <c r="Z127" s="200">
        <f t="shared" si="89"/>
        <v>0</v>
      </c>
      <c r="AA127" s="200">
        <f t="shared" si="90"/>
        <v>0</v>
      </c>
      <c r="AB127" s="200">
        <f t="shared" si="91"/>
        <v>0</v>
      </c>
      <c r="AC127" s="200">
        <f t="shared" si="92"/>
        <v>0</v>
      </c>
      <c r="AD127" s="200">
        <f t="shared" si="93"/>
        <v>0</v>
      </c>
      <c r="AE127" s="200">
        <f t="shared" si="94"/>
        <v>0</v>
      </c>
      <c r="AF127" s="200">
        <f t="shared" si="95"/>
        <v>0</v>
      </c>
      <c r="AG127" s="200">
        <f t="shared" si="96"/>
        <v>0</v>
      </c>
    </row>
    <row r="128" spans="1:36" ht="15.6" hidden="1" customHeight="1" x14ac:dyDescent="0.25">
      <c r="A128" s="197"/>
      <c r="B128" s="281" t="s">
        <v>527</v>
      </c>
      <c r="C128" s="603"/>
      <c r="D128" s="604"/>
      <c r="E128" s="287"/>
      <c r="F128" s="635"/>
      <c r="G128" s="636"/>
      <c r="H128" s="286"/>
      <c r="I128" s="286"/>
      <c r="J128" s="286"/>
      <c r="K128" s="286"/>
      <c r="L128" s="1"/>
      <c r="M128" s="2"/>
      <c r="N128" s="194"/>
      <c r="O128" s="70">
        <f t="shared" si="84"/>
        <v>0</v>
      </c>
      <c r="P128" s="70">
        <f t="shared" si="85"/>
        <v>0</v>
      </c>
      <c r="Q128" s="70">
        <f t="shared" si="82"/>
        <v>0</v>
      </c>
      <c r="R128" s="70">
        <f t="shared" si="86"/>
        <v>0</v>
      </c>
      <c r="V128" s="200" t="str">
        <f t="shared" si="57"/>
        <v>Podnik 21.</v>
      </c>
      <c r="W128" s="201">
        <f t="shared" si="83"/>
        <v>0</v>
      </c>
      <c r="X128" s="200">
        <f t="shared" si="87"/>
        <v>0</v>
      </c>
      <c r="Y128" s="70">
        <f t="shared" si="88"/>
        <v>0</v>
      </c>
      <c r="Z128" s="200">
        <f t="shared" si="89"/>
        <v>0</v>
      </c>
      <c r="AA128" s="200">
        <f t="shared" si="90"/>
        <v>0</v>
      </c>
      <c r="AB128" s="200">
        <f t="shared" si="91"/>
        <v>0</v>
      </c>
      <c r="AC128" s="200">
        <f t="shared" si="92"/>
        <v>0</v>
      </c>
      <c r="AD128" s="200">
        <f t="shared" si="93"/>
        <v>0</v>
      </c>
      <c r="AE128" s="200">
        <f t="shared" si="94"/>
        <v>0</v>
      </c>
      <c r="AF128" s="200">
        <f t="shared" si="95"/>
        <v>0</v>
      </c>
      <c r="AG128" s="200">
        <f t="shared" si="96"/>
        <v>0</v>
      </c>
    </row>
    <row r="129" spans="1:36" ht="15.6" hidden="1" customHeight="1" x14ac:dyDescent="0.25">
      <c r="A129" s="197"/>
      <c r="B129" s="281" t="s">
        <v>528</v>
      </c>
      <c r="C129" s="603"/>
      <c r="D129" s="604"/>
      <c r="E129" s="287"/>
      <c r="F129" s="635"/>
      <c r="G129" s="636"/>
      <c r="H129" s="286"/>
      <c r="I129" s="286"/>
      <c r="J129" s="286"/>
      <c r="K129" s="286"/>
      <c r="L129" s="1"/>
      <c r="M129" s="2"/>
      <c r="N129" s="194"/>
      <c r="O129" s="70">
        <f t="shared" si="84"/>
        <v>0</v>
      </c>
      <c r="P129" s="70">
        <f t="shared" si="85"/>
        <v>0</v>
      </c>
      <c r="Q129" s="70">
        <f t="shared" si="82"/>
        <v>0</v>
      </c>
      <c r="R129" s="70">
        <f t="shared" si="86"/>
        <v>0</v>
      </c>
      <c r="V129" s="200" t="str">
        <f t="shared" si="57"/>
        <v>Podnik 22.</v>
      </c>
      <c r="W129" s="201">
        <f t="shared" si="83"/>
        <v>0</v>
      </c>
      <c r="X129" s="200">
        <f t="shared" si="87"/>
        <v>0</v>
      </c>
      <c r="Y129" s="70">
        <f t="shared" si="88"/>
        <v>0</v>
      </c>
      <c r="Z129" s="200">
        <f t="shared" si="89"/>
        <v>0</v>
      </c>
      <c r="AA129" s="200">
        <f t="shared" si="90"/>
        <v>0</v>
      </c>
      <c r="AB129" s="200">
        <f t="shared" si="91"/>
        <v>0</v>
      </c>
      <c r="AC129" s="200">
        <f t="shared" si="92"/>
        <v>0</v>
      </c>
      <c r="AD129" s="200">
        <f t="shared" si="93"/>
        <v>0</v>
      </c>
      <c r="AE129" s="200">
        <f t="shared" si="94"/>
        <v>0</v>
      </c>
      <c r="AF129" s="200">
        <f t="shared" si="95"/>
        <v>0</v>
      </c>
      <c r="AG129" s="200">
        <f t="shared" si="96"/>
        <v>0</v>
      </c>
    </row>
    <row r="130" spans="1:36" ht="15.6" hidden="1" customHeight="1" x14ac:dyDescent="0.25">
      <c r="A130" s="197"/>
      <c r="B130" s="281" t="s">
        <v>529</v>
      </c>
      <c r="C130" s="603"/>
      <c r="D130" s="604"/>
      <c r="E130" s="287"/>
      <c r="F130" s="635"/>
      <c r="G130" s="636"/>
      <c r="H130" s="286"/>
      <c r="I130" s="286"/>
      <c r="J130" s="286"/>
      <c r="K130" s="286"/>
      <c r="L130" s="1"/>
      <c r="M130" s="2"/>
      <c r="N130" s="194"/>
      <c r="O130" s="70">
        <f t="shared" si="84"/>
        <v>0</v>
      </c>
      <c r="P130" s="70">
        <f t="shared" si="85"/>
        <v>0</v>
      </c>
      <c r="Q130" s="70">
        <f t="shared" si="82"/>
        <v>0</v>
      </c>
      <c r="R130" s="70">
        <f t="shared" si="86"/>
        <v>0</v>
      </c>
      <c r="V130" s="200" t="str">
        <f t="shared" si="57"/>
        <v>Podnik 23.</v>
      </c>
      <c r="W130" s="201">
        <f t="shared" si="83"/>
        <v>0</v>
      </c>
      <c r="X130" s="200">
        <f t="shared" si="87"/>
        <v>0</v>
      </c>
      <c r="Y130" s="70">
        <f t="shared" si="88"/>
        <v>0</v>
      </c>
      <c r="Z130" s="200">
        <f t="shared" si="89"/>
        <v>0</v>
      </c>
      <c r="AA130" s="200">
        <f t="shared" si="90"/>
        <v>0</v>
      </c>
      <c r="AB130" s="200">
        <f t="shared" si="91"/>
        <v>0</v>
      </c>
      <c r="AC130" s="200">
        <f t="shared" si="92"/>
        <v>0</v>
      </c>
      <c r="AD130" s="200">
        <f t="shared" si="93"/>
        <v>0</v>
      </c>
      <c r="AE130" s="200">
        <f t="shared" si="94"/>
        <v>0</v>
      </c>
      <c r="AF130" s="200">
        <f t="shared" si="95"/>
        <v>0</v>
      </c>
      <c r="AG130" s="200">
        <f t="shared" si="96"/>
        <v>0</v>
      </c>
    </row>
    <row r="131" spans="1:36" ht="15.6" hidden="1" customHeight="1" x14ac:dyDescent="0.25">
      <c r="A131" s="197"/>
      <c r="B131" s="281" t="s">
        <v>530</v>
      </c>
      <c r="C131" s="603"/>
      <c r="D131" s="604"/>
      <c r="E131" s="287"/>
      <c r="F131" s="635"/>
      <c r="G131" s="636"/>
      <c r="H131" s="286"/>
      <c r="I131" s="286"/>
      <c r="J131" s="286"/>
      <c r="K131" s="286"/>
      <c r="L131" s="1"/>
      <c r="M131" s="2"/>
      <c r="N131" s="194"/>
      <c r="O131" s="70">
        <f t="shared" si="84"/>
        <v>0</v>
      </c>
      <c r="P131" s="70">
        <f t="shared" si="85"/>
        <v>0</v>
      </c>
      <c r="Q131" s="70">
        <f t="shared" si="82"/>
        <v>0</v>
      </c>
      <c r="R131" s="70">
        <f t="shared" si="86"/>
        <v>0</v>
      </c>
      <c r="V131" s="200" t="str">
        <f t="shared" si="57"/>
        <v>Podnik 24.</v>
      </c>
      <c r="W131" s="201">
        <f t="shared" si="83"/>
        <v>0</v>
      </c>
      <c r="X131" s="200">
        <f t="shared" si="87"/>
        <v>0</v>
      </c>
      <c r="Y131" s="70">
        <f t="shared" si="88"/>
        <v>0</v>
      </c>
      <c r="Z131" s="200">
        <f t="shared" si="89"/>
        <v>0</v>
      </c>
      <c r="AA131" s="200">
        <f t="shared" si="90"/>
        <v>0</v>
      </c>
      <c r="AB131" s="200">
        <f t="shared" si="91"/>
        <v>0</v>
      </c>
      <c r="AC131" s="200">
        <f t="shared" si="92"/>
        <v>0</v>
      </c>
      <c r="AD131" s="200">
        <f t="shared" si="93"/>
        <v>0</v>
      </c>
      <c r="AE131" s="200">
        <f t="shared" si="94"/>
        <v>0</v>
      </c>
      <c r="AF131" s="200">
        <f t="shared" si="95"/>
        <v>0</v>
      </c>
      <c r="AG131" s="200">
        <f t="shared" si="96"/>
        <v>0</v>
      </c>
    </row>
    <row r="132" spans="1:36" ht="15.6" hidden="1" customHeight="1" x14ac:dyDescent="0.25">
      <c r="A132" s="197"/>
      <c r="B132" s="281" t="s">
        <v>531</v>
      </c>
      <c r="C132" s="603"/>
      <c r="D132" s="604"/>
      <c r="E132" s="287"/>
      <c r="F132" s="635"/>
      <c r="G132" s="636"/>
      <c r="H132" s="286"/>
      <c r="I132" s="286"/>
      <c r="J132" s="286"/>
      <c r="K132" s="286"/>
      <c r="L132" s="1"/>
      <c r="M132" s="2"/>
      <c r="N132" s="194"/>
      <c r="O132" s="70">
        <f t="shared" si="84"/>
        <v>0</v>
      </c>
      <c r="P132" s="70">
        <f t="shared" si="85"/>
        <v>0</v>
      </c>
      <c r="Q132" s="70">
        <f t="shared" si="82"/>
        <v>0</v>
      </c>
      <c r="R132" s="70">
        <f t="shared" si="86"/>
        <v>0</v>
      </c>
      <c r="V132" s="200" t="str">
        <f t="shared" si="57"/>
        <v>Podnik 25.</v>
      </c>
      <c r="W132" s="201">
        <f t="shared" si="83"/>
        <v>0</v>
      </c>
      <c r="X132" s="200">
        <f t="shared" si="87"/>
        <v>0</v>
      </c>
      <c r="Y132" s="70">
        <f t="shared" si="88"/>
        <v>0</v>
      </c>
      <c r="Z132" s="200">
        <f t="shared" si="89"/>
        <v>0</v>
      </c>
      <c r="AA132" s="200">
        <f t="shared" si="90"/>
        <v>0</v>
      </c>
      <c r="AB132" s="200">
        <f t="shared" si="91"/>
        <v>0</v>
      </c>
      <c r="AC132" s="200">
        <f t="shared" si="92"/>
        <v>0</v>
      </c>
      <c r="AD132" s="200">
        <f t="shared" si="93"/>
        <v>0</v>
      </c>
      <c r="AE132" s="200">
        <f t="shared" si="94"/>
        <v>0</v>
      </c>
      <c r="AF132" s="200">
        <f t="shared" si="95"/>
        <v>0</v>
      </c>
      <c r="AG132" s="200">
        <f t="shared" si="96"/>
        <v>0</v>
      </c>
    </row>
    <row r="133" spans="1:36" ht="15.6" hidden="1" customHeight="1" x14ac:dyDescent="0.25">
      <c r="A133" s="197"/>
      <c r="B133" s="281" t="s">
        <v>532</v>
      </c>
      <c r="C133" s="603"/>
      <c r="D133" s="604"/>
      <c r="E133" s="287"/>
      <c r="F133" s="635"/>
      <c r="G133" s="636"/>
      <c r="H133" s="286"/>
      <c r="I133" s="286"/>
      <c r="J133" s="286"/>
      <c r="K133" s="286"/>
      <c r="L133" s="1"/>
      <c r="M133" s="2"/>
      <c r="N133" s="194"/>
      <c r="O133" s="70">
        <f t="shared" si="84"/>
        <v>0</v>
      </c>
      <c r="P133" s="70">
        <f t="shared" si="85"/>
        <v>0</v>
      </c>
      <c r="Q133" s="70">
        <f t="shared" si="82"/>
        <v>0</v>
      </c>
      <c r="R133" s="70">
        <f t="shared" si="86"/>
        <v>0</v>
      </c>
      <c r="V133" s="200" t="str">
        <f t="shared" si="57"/>
        <v>Podnik 26.</v>
      </c>
      <c r="W133" s="201">
        <f t="shared" si="83"/>
        <v>0</v>
      </c>
      <c r="X133" s="200">
        <f t="shared" si="87"/>
        <v>0</v>
      </c>
      <c r="Y133" s="70">
        <f t="shared" si="88"/>
        <v>0</v>
      </c>
      <c r="Z133" s="200">
        <f t="shared" si="89"/>
        <v>0</v>
      </c>
      <c r="AA133" s="200">
        <f t="shared" si="90"/>
        <v>0</v>
      </c>
      <c r="AB133" s="200">
        <f t="shared" si="91"/>
        <v>0</v>
      </c>
      <c r="AC133" s="200">
        <f t="shared" si="92"/>
        <v>0</v>
      </c>
      <c r="AD133" s="200">
        <f t="shared" si="93"/>
        <v>0</v>
      </c>
      <c r="AE133" s="200">
        <f t="shared" si="94"/>
        <v>0</v>
      </c>
      <c r="AF133" s="200">
        <f t="shared" si="95"/>
        <v>0</v>
      </c>
      <c r="AG133" s="200">
        <f t="shared" si="96"/>
        <v>0</v>
      </c>
    </row>
    <row r="134" spans="1:36" ht="15.6" hidden="1" customHeight="1" x14ac:dyDescent="0.25">
      <c r="A134" s="197"/>
      <c r="B134" s="281" t="s">
        <v>533</v>
      </c>
      <c r="C134" s="603"/>
      <c r="D134" s="604"/>
      <c r="E134" s="287"/>
      <c r="F134" s="635"/>
      <c r="G134" s="636"/>
      <c r="H134" s="286"/>
      <c r="I134" s="286"/>
      <c r="J134" s="286"/>
      <c r="K134" s="286"/>
      <c r="L134" s="1"/>
      <c r="M134" s="2"/>
      <c r="N134" s="194"/>
      <c r="O134" s="70">
        <f t="shared" si="84"/>
        <v>0</v>
      </c>
      <c r="P134" s="70">
        <f t="shared" si="85"/>
        <v>0</v>
      </c>
      <c r="Q134" s="70">
        <f t="shared" si="82"/>
        <v>0</v>
      </c>
      <c r="R134" s="70">
        <f t="shared" si="86"/>
        <v>0</v>
      </c>
      <c r="V134" s="200" t="str">
        <f t="shared" si="57"/>
        <v>Podnik 27.</v>
      </c>
      <c r="W134" s="201">
        <f t="shared" si="83"/>
        <v>0</v>
      </c>
      <c r="X134" s="200">
        <f t="shared" si="87"/>
        <v>0</v>
      </c>
      <c r="Y134" s="70">
        <f t="shared" si="88"/>
        <v>0</v>
      </c>
      <c r="Z134" s="200">
        <f t="shared" si="89"/>
        <v>0</v>
      </c>
      <c r="AA134" s="200">
        <f t="shared" si="90"/>
        <v>0</v>
      </c>
      <c r="AB134" s="200">
        <f t="shared" si="91"/>
        <v>0</v>
      </c>
      <c r="AC134" s="200">
        <f t="shared" si="92"/>
        <v>0</v>
      </c>
      <c r="AD134" s="200">
        <f t="shared" si="93"/>
        <v>0</v>
      </c>
      <c r="AE134" s="200">
        <f t="shared" si="94"/>
        <v>0</v>
      </c>
      <c r="AF134" s="200">
        <f t="shared" si="95"/>
        <v>0</v>
      </c>
      <c r="AG134" s="200">
        <f t="shared" si="96"/>
        <v>0</v>
      </c>
    </row>
    <row r="135" spans="1:36" ht="15.6" hidden="1" customHeight="1" x14ac:dyDescent="0.25">
      <c r="A135" s="197"/>
      <c r="B135" s="281" t="s">
        <v>534</v>
      </c>
      <c r="C135" s="603"/>
      <c r="D135" s="604"/>
      <c r="E135" s="287"/>
      <c r="F135" s="635"/>
      <c r="G135" s="636"/>
      <c r="H135" s="286"/>
      <c r="I135" s="286"/>
      <c r="J135" s="286"/>
      <c r="K135" s="286"/>
      <c r="L135" s="1"/>
      <c r="M135" s="2"/>
      <c r="N135" s="194"/>
      <c r="O135" s="70">
        <f t="shared" si="84"/>
        <v>0</v>
      </c>
      <c r="P135" s="70">
        <f t="shared" si="85"/>
        <v>0</v>
      </c>
      <c r="Q135" s="70">
        <f t="shared" si="82"/>
        <v>0</v>
      </c>
      <c r="R135" s="70">
        <f t="shared" si="86"/>
        <v>0</v>
      </c>
      <c r="V135" s="200" t="str">
        <f t="shared" si="57"/>
        <v>Podnik 28.</v>
      </c>
      <c r="W135" s="201">
        <f t="shared" si="83"/>
        <v>0</v>
      </c>
      <c r="X135" s="200">
        <f t="shared" si="87"/>
        <v>0</v>
      </c>
      <c r="Y135" s="70">
        <f t="shared" si="88"/>
        <v>0</v>
      </c>
      <c r="Z135" s="200">
        <f t="shared" si="89"/>
        <v>0</v>
      </c>
      <c r="AA135" s="200">
        <f t="shared" si="90"/>
        <v>0</v>
      </c>
      <c r="AB135" s="200">
        <f t="shared" si="91"/>
        <v>0</v>
      </c>
      <c r="AC135" s="200">
        <f t="shared" si="92"/>
        <v>0</v>
      </c>
      <c r="AD135" s="200">
        <f t="shared" si="93"/>
        <v>0</v>
      </c>
      <c r="AE135" s="200">
        <f t="shared" si="94"/>
        <v>0</v>
      </c>
      <c r="AF135" s="200">
        <f t="shared" si="95"/>
        <v>0</v>
      </c>
      <c r="AG135" s="200">
        <f t="shared" si="96"/>
        <v>0</v>
      </c>
    </row>
    <row r="136" spans="1:36" ht="15" hidden="1" customHeight="1" x14ac:dyDescent="0.25">
      <c r="A136" s="197"/>
      <c r="B136" s="281" t="s">
        <v>535</v>
      </c>
      <c r="C136" s="603"/>
      <c r="D136" s="604"/>
      <c r="E136" s="287"/>
      <c r="F136" s="635"/>
      <c r="G136" s="636"/>
      <c r="H136" s="286"/>
      <c r="I136" s="286"/>
      <c r="J136" s="286"/>
      <c r="K136" s="286"/>
      <c r="L136" s="1"/>
      <c r="M136" s="2"/>
      <c r="N136" s="194"/>
      <c r="O136" s="70">
        <f t="shared" si="84"/>
        <v>0</v>
      </c>
      <c r="P136" s="70">
        <f t="shared" si="85"/>
        <v>0</v>
      </c>
      <c r="Q136" s="70">
        <f t="shared" si="82"/>
        <v>0</v>
      </c>
      <c r="R136" s="70">
        <f t="shared" si="86"/>
        <v>0</v>
      </c>
      <c r="V136" s="200" t="str">
        <f t="shared" si="57"/>
        <v>Podnik 29.</v>
      </c>
      <c r="W136" s="201">
        <f t="shared" si="83"/>
        <v>0</v>
      </c>
      <c r="X136" s="200">
        <f t="shared" si="87"/>
        <v>0</v>
      </c>
      <c r="Y136" s="70">
        <f t="shared" si="88"/>
        <v>0</v>
      </c>
      <c r="Z136" s="200">
        <f t="shared" si="89"/>
        <v>0</v>
      </c>
      <c r="AA136" s="200">
        <f t="shared" si="90"/>
        <v>0</v>
      </c>
      <c r="AB136" s="200">
        <f t="shared" si="91"/>
        <v>0</v>
      </c>
      <c r="AC136" s="200">
        <f t="shared" si="92"/>
        <v>0</v>
      </c>
      <c r="AD136" s="200">
        <f t="shared" si="93"/>
        <v>0</v>
      </c>
      <c r="AE136" s="200">
        <f t="shared" si="94"/>
        <v>0</v>
      </c>
      <c r="AF136" s="200">
        <f t="shared" si="95"/>
        <v>0</v>
      </c>
      <c r="AG136" s="200">
        <f t="shared" si="96"/>
        <v>0</v>
      </c>
    </row>
    <row r="137" spans="1:36" ht="15.6" hidden="1" customHeight="1" x14ac:dyDescent="0.25">
      <c r="A137" s="197"/>
      <c r="B137" s="281" t="s">
        <v>536</v>
      </c>
      <c r="C137" s="603"/>
      <c r="D137" s="604"/>
      <c r="E137" s="287"/>
      <c r="F137" s="635"/>
      <c r="G137" s="636"/>
      <c r="H137" s="286"/>
      <c r="I137" s="286"/>
      <c r="J137" s="286"/>
      <c r="K137" s="286"/>
      <c r="L137" s="1"/>
      <c r="M137" s="2"/>
      <c r="N137" s="194"/>
      <c r="O137" s="70">
        <f t="shared" si="84"/>
        <v>0</v>
      </c>
      <c r="P137" s="70">
        <f t="shared" si="85"/>
        <v>0</v>
      </c>
      <c r="Q137" s="70">
        <f t="shared" si="82"/>
        <v>0</v>
      </c>
      <c r="R137" s="70">
        <f t="shared" si="86"/>
        <v>0</v>
      </c>
      <c r="V137" s="200" t="str">
        <f t="shared" si="57"/>
        <v>Podnik 30.</v>
      </c>
      <c r="W137" s="201">
        <f t="shared" si="83"/>
        <v>0</v>
      </c>
      <c r="X137" s="200">
        <f t="shared" si="87"/>
        <v>0</v>
      </c>
      <c r="Y137" s="70">
        <f t="shared" si="88"/>
        <v>0</v>
      </c>
      <c r="Z137" s="200">
        <f t="shared" si="89"/>
        <v>0</v>
      </c>
      <c r="AA137" s="200">
        <f t="shared" si="90"/>
        <v>0</v>
      </c>
      <c r="AB137" s="200">
        <f t="shared" si="91"/>
        <v>0</v>
      </c>
      <c r="AC137" s="200">
        <f t="shared" si="92"/>
        <v>0</v>
      </c>
      <c r="AD137" s="200">
        <f t="shared" si="93"/>
        <v>0</v>
      </c>
      <c r="AE137" s="200">
        <f t="shared" si="94"/>
        <v>0</v>
      </c>
      <c r="AF137" s="200">
        <f t="shared" si="95"/>
        <v>0</v>
      </c>
      <c r="AG137" s="200">
        <f t="shared" si="96"/>
        <v>0</v>
      </c>
    </row>
    <row r="138" spans="1:36" ht="15.6" customHeight="1" thickBot="1" x14ac:dyDescent="0.3">
      <c r="A138" s="197"/>
      <c r="B138" s="605" t="s">
        <v>73</v>
      </c>
      <c r="C138" s="606"/>
      <c r="D138" s="607"/>
      <c r="E138" s="189">
        <f>SUM(E108:E137)</f>
        <v>0</v>
      </c>
      <c r="F138" s="637"/>
      <c r="G138" s="638"/>
      <c r="H138" s="190">
        <f t="shared" ref="H138:M138" si="97">SUM(H108:H137)</f>
        <v>0</v>
      </c>
      <c r="I138" s="190">
        <f t="shared" si="97"/>
        <v>0</v>
      </c>
      <c r="J138" s="190">
        <f t="shared" si="97"/>
        <v>0</v>
      </c>
      <c r="K138" s="190">
        <f t="shared" si="97"/>
        <v>0</v>
      </c>
      <c r="L138" s="190">
        <f t="shared" si="97"/>
        <v>0</v>
      </c>
      <c r="M138" s="191">
        <f t="shared" si="97"/>
        <v>0</v>
      </c>
      <c r="N138" s="194"/>
      <c r="P138" s="203">
        <f>SUM(P108:P137)</f>
        <v>0</v>
      </c>
      <c r="S138"/>
    </row>
    <row r="139" spans="1:36" ht="16.5" thickBot="1" x14ac:dyDescent="0.3">
      <c r="A139" s="197"/>
      <c r="B139" s="193"/>
      <c r="C139" s="657" t="str">
        <f>IF(P138&gt;0,"Ve výše uvedené tabulce je nutné vybrat rok!","")</f>
        <v/>
      </c>
      <c r="D139" s="657"/>
      <c r="E139" s="657"/>
      <c r="F139" s="657"/>
      <c r="G139" s="657"/>
      <c r="H139" s="196"/>
      <c r="I139" s="196"/>
      <c r="J139" s="196"/>
      <c r="K139" s="196"/>
      <c r="L139" s="194"/>
      <c r="M139" s="194"/>
      <c r="N139" s="194"/>
      <c r="S139"/>
      <c r="V139"/>
      <c r="W139"/>
      <c r="X139"/>
      <c r="Y139"/>
      <c r="Z139"/>
      <c r="AA139"/>
      <c r="AB139"/>
      <c r="AC139"/>
      <c r="AD139"/>
      <c r="AE139"/>
      <c r="AF139"/>
      <c r="AG139"/>
      <c r="AH139"/>
      <c r="AI139"/>
      <c r="AJ139"/>
    </row>
    <row r="140" spans="1:36" ht="20.25" customHeight="1" x14ac:dyDescent="0.25">
      <c r="A140" s="197"/>
      <c r="B140" s="588" t="str">
        <f>IF($E$12="ANO","NEVYPLŇUJE SE.   (Tuto taulku vyplňuje pouze VELKÝ podnikatel.)","Obchodní jméno podniku")</f>
        <v>Obchodní jméno podniku</v>
      </c>
      <c r="C140" s="591" t="s">
        <v>403</v>
      </c>
      <c r="D140" s="592"/>
      <c r="E140" s="623" t="s">
        <v>86</v>
      </c>
      <c r="F140" s="624"/>
      <c r="G140" s="624"/>
      <c r="H140" s="624"/>
      <c r="I140" s="624"/>
      <c r="J140" s="624"/>
      <c r="K140" s="621" t="s">
        <v>87</v>
      </c>
      <c r="L140" s="621"/>
      <c r="M140" s="622"/>
      <c r="N140" s="194"/>
      <c r="S140"/>
      <c r="T140" s="155"/>
      <c r="V140"/>
      <c r="W140"/>
      <c r="X140"/>
      <c r="Y140"/>
      <c r="Z140"/>
      <c r="AA140"/>
      <c r="AB140"/>
      <c r="AC140"/>
      <c r="AD140"/>
      <c r="AE140"/>
      <c r="AF140"/>
      <c r="AG140"/>
      <c r="AH140"/>
      <c r="AI140"/>
      <c r="AJ140"/>
    </row>
    <row r="141" spans="1:36" ht="56.25" customHeight="1" x14ac:dyDescent="0.25">
      <c r="A141" s="197"/>
      <c r="B141" s="589"/>
      <c r="C141" s="593"/>
      <c r="D141" s="594"/>
      <c r="E141" s="182" t="s">
        <v>15</v>
      </c>
      <c r="F141" s="183" t="s">
        <v>30</v>
      </c>
      <c r="G141" s="183" t="s">
        <v>72</v>
      </c>
      <c r="H141" s="183" t="s">
        <v>83</v>
      </c>
      <c r="I141" s="183" t="s">
        <v>81</v>
      </c>
      <c r="J141" s="183" t="s">
        <v>99</v>
      </c>
      <c r="K141" s="171" t="s">
        <v>23</v>
      </c>
      <c r="L141" s="171" t="s">
        <v>25</v>
      </c>
      <c r="M141" s="172" t="s">
        <v>82</v>
      </c>
      <c r="N141" s="194"/>
      <c r="S141"/>
      <c r="T141" s="155"/>
    </row>
    <row r="142" spans="1:36" ht="18.75" customHeight="1" thickBot="1" x14ac:dyDescent="0.3">
      <c r="A142" s="197"/>
      <c r="B142" s="590"/>
      <c r="C142" s="595"/>
      <c r="D142" s="596"/>
      <c r="E142" s="608" t="str">
        <f>E107</f>
        <v>Uveďte údaje z konsolidované účetní závěrky, je-li k dispozici.</v>
      </c>
      <c r="F142" s="609"/>
      <c r="G142" s="609"/>
      <c r="H142" s="609"/>
      <c r="I142" s="609"/>
      <c r="J142" s="609"/>
      <c r="K142" s="609"/>
      <c r="L142" s="609"/>
      <c r="M142" s="610"/>
      <c r="N142" s="194"/>
      <c r="S142"/>
      <c r="T142" s="155"/>
    </row>
    <row r="143" spans="1:36" ht="15.6" customHeight="1" x14ac:dyDescent="0.25">
      <c r="A143" s="197"/>
      <c r="B143" s="377" t="str">
        <f>IF(B108="Podnik 1.","Vyplní se automaticky",IF(B108="","",B108))</f>
        <v>Vyplní se automaticky</v>
      </c>
      <c r="C143" s="659" t="str">
        <f>IF(C108&gt;20,C108-1,"Vyplní se automaticky")</f>
        <v>Vyplní se automaticky</v>
      </c>
      <c r="D143" s="660"/>
      <c r="E143" s="378"/>
      <c r="F143" s="639" t="s">
        <v>84</v>
      </c>
      <c r="G143" s="640"/>
      <c r="H143" s="640"/>
      <c r="I143" s="641"/>
      <c r="J143" s="379"/>
      <c r="K143" s="379"/>
      <c r="L143" s="279"/>
      <c r="M143" s="285"/>
      <c r="N143" s="194"/>
      <c r="S143"/>
      <c r="T143" s="155"/>
      <c r="Y143" s="185">
        <f t="shared" ref="Y143" si="98">IF(C143=$T$30,E143,0)</f>
        <v>0</v>
      </c>
      <c r="AA143" s="185">
        <f t="shared" ref="AA143" si="99">IF(C143=$T$30,J143,0)</f>
        <v>0</v>
      </c>
      <c r="AC143" s="185">
        <f t="shared" ref="AC143" si="100">IF(C143=$T$30,K143,0)</f>
        <v>0</v>
      </c>
      <c r="AE143" s="185">
        <f t="shared" ref="AE143" si="101">IF(C143=$T$30,L143,0)</f>
        <v>0</v>
      </c>
      <c r="AG143" s="185">
        <f t="shared" ref="AG143" si="102">IF(C143=$T$30,M143,0)</f>
        <v>0</v>
      </c>
    </row>
    <row r="144" spans="1:36" ht="15.6" customHeight="1" x14ac:dyDescent="0.25">
      <c r="A144" s="197"/>
      <c r="B144" s="184" t="str">
        <f>IF(OR(B109="Podnik 2.",B109=""),"",B109)</f>
        <v/>
      </c>
      <c r="C144" s="580" t="str">
        <f t="shared" ref="C144:C172" si="103">IF(C109&gt;20,C109-1,"")</f>
        <v/>
      </c>
      <c r="D144" s="581"/>
      <c r="E144" s="287"/>
      <c r="F144" s="642"/>
      <c r="G144" s="643"/>
      <c r="H144" s="643"/>
      <c r="I144" s="644"/>
      <c r="J144" s="286"/>
      <c r="K144" s="286"/>
      <c r="L144" s="1"/>
      <c r="M144" s="2"/>
      <c r="N144" s="194"/>
      <c r="S144"/>
      <c r="T144" s="155"/>
      <c r="Y144" s="185">
        <f t="shared" ref="Y144:Y159" si="104">IF(C144=$T$30,E144,0)</f>
        <v>0</v>
      </c>
      <c r="AA144" s="185">
        <f t="shared" ref="AA144:AA159" si="105">IF(C144=$T$30,J144,0)</f>
        <v>0</v>
      </c>
      <c r="AC144" s="185">
        <f t="shared" ref="AC144:AC159" si="106">IF(C144=$T$30,K144,0)</f>
        <v>0</v>
      </c>
      <c r="AE144" s="185">
        <f t="shared" ref="AE144:AE159" si="107">IF(C144=$T$30,L144,0)</f>
        <v>0</v>
      </c>
      <c r="AG144" s="185">
        <f t="shared" ref="AG144:AG159" si="108">IF(C144=$T$30,M144,0)</f>
        <v>0</v>
      </c>
    </row>
    <row r="145" spans="1:33" ht="15.6" customHeight="1" x14ac:dyDescent="0.25">
      <c r="A145" s="197"/>
      <c r="B145" s="184" t="str">
        <f>IF(OR(B110="Podnik 3.",B110=""),"",B110)</f>
        <v/>
      </c>
      <c r="C145" s="580" t="str">
        <f t="shared" si="103"/>
        <v/>
      </c>
      <c r="D145" s="581"/>
      <c r="E145" s="287"/>
      <c r="F145" s="642"/>
      <c r="G145" s="643"/>
      <c r="H145" s="643"/>
      <c r="I145" s="644"/>
      <c r="J145" s="286"/>
      <c r="K145" s="286"/>
      <c r="L145" s="1"/>
      <c r="M145" s="2"/>
      <c r="N145" s="194"/>
      <c r="S145"/>
      <c r="T145" s="155"/>
      <c r="Y145" s="185">
        <f t="shared" si="104"/>
        <v>0</v>
      </c>
      <c r="AA145" s="185">
        <f t="shared" si="105"/>
        <v>0</v>
      </c>
      <c r="AC145" s="185">
        <f t="shared" si="106"/>
        <v>0</v>
      </c>
      <c r="AE145" s="185">
        <f t="shared" si="107"/>
        <v>0</v>
      </c>
      <c r="AG145" s="185">
        <f t="shared" si="108"/>
        <v>0</v>
      </c>
    </row>
    <row r="146" spans="1:33" ht="15.6" customHeight="1" x14ac:dyDescent="0.25">
      <c r="A146" s="197"/>
      <c r="B146" s="184" t="str">
        <f>IF(OR(B111="Podnik 4.",B111=""),"",B111)</f>
        <v/>
      </c>
      <c r="C146" s="580" t="str">
        <f t="shared" si="103"/>
        <v/>
      </c>
      <c r="D146" s="581"/>
      <c r="E146" s="287"/>
      <c r="F146" s="642"/>
      <c r="G146" s="643"/>
      <c r="H146" s="643"/>
      <c r="I146" s="644"/>
      <c r="J146" s="286"/>
      <c r="K146" s="286"/>
      <c r="L146" s="1"/>
      <c r="M146" s="2"/>
      <c r="N146" s="194"/>
      <c r="S146"/>
      <c r="T146" s="155"/>
      <c r="Y146" s="185">
        <f t="shared" si="104"/>
        <v>0</v>
      </c>
      <c r="AA146" s="185">
        <f t="shared" si="105"/>
        <v>0</v>
      </c>
      <c r="AC146" s="185">
        <f t="shared" si="106"/>
        <v>0</v>
      </c>
      <c r="AE146" s="185">
        <f t="shared" si="107"/>
        <v>0</v>
      </c>
      <c r="AG146" s="185">
        <f t="shared" si="108"/>
        <v>0</v>
      </c>
    </row>
    <row r="147" spans="1:33" ht="15.6" customHeight="1" x14ac:dyDescent="0.25">
      <c r="A147" s="197"/>
      <c r="B147" s="184" t="str">
        <f>IF(OR(B112="Podnik 5.",B112=""),"",B112)</f>
        <v/>
      </c>
      <c r="C147" s="580" t="str">
        <f t="shared" si="103"/>
        <v/>
      </c>
      <c r="D147" s="581"/>
      <c r="E147" s="287"/>
      <c r="F147" s="642"/>
      <c r="G147" s="643"/>
      <c r="H147" s="643"/>
      <c r="I147" s="644"/>
      <c r="J147" s="286"/>
      <c r="K147" s="286"/>
      <c r="L147" s="1"/>
      <c r="M147" s="2"/>
      <c r="N147" s="194"/>
      <c r="S147"/>
      <c r="T147" s="155"/>
      <c r="Y147" s="185">
        <f t="shared" si="104"/>
        <v>0</v>
      </c>
      <c r="AA147" s="185">
        <f t="shared" si="105"/>
        <v>0</v>
      </c>
      <c r="AC147" s="185">
        <f t="shared" si="106"/>
        <v>0</v>
      </c>
      <c r="AE147" s="185">
        <f t="shared" si="107"/>
        <v>0</v>
      </c>
      <c r="AG147" s="185">
        <f t="shared" si="108"/>
        <v>0</v>
      </c>
    </row>
    <row r="148" spans="1:33" ht="15.6" customHeight="1" x14ac:dyDescent="0.25">
      <c r="A148" s="197"/>
      <c r="B148" s="184" t="str">
        <f>IF(OR(B113="Podnik 6.",B113=""),"",B113)</f>
        <v/>
      </c>
      <c r="C148" s="580" t="str">
        <f t="shared" si="103"/>
        <v/>
      </c>
      <c r="D148" s="581"/>
      <c r="E148" s="287"/>
      <c r="F148" s="642"/>
      <c r="G148" s="643"/>
      <c r="H148" s="643"/>
      <c r="I148" s="644"/>
      <c r="J148" s="286"/>
      <c r="K148" s="286"/>
      <c r="L148" s="1"/>
      <c r="M148" s="2"/>
      <c r="N148" s="194"/>
      <c r="S148"/>
      <c r="T148" s="155"/>
      <c r="Y148" s="185">
        <f t="shared" si="104"/>
        <v>0</v>
      </c>
      <c r="AA148" s="185">
        <f t="shared" si="105"/>
        <v>0</v>
      </c>
      <c r="AC148" s="185">
        <f t="shared" si="106"/>
        <v>0</v>
      </c>
      <c r="AE148" s="185">
        <f t="shared" si="107"/>
        <v>0</v>
      </c>
      <c r="AG148" s="185">
        <f t="shared" si="108"/>
        <v>0</v>
      </c>
    </row>
    <row r="149" spans="1:33" ht="15.6" customHeight="1" x14ac:dyDescent="0.25">
      <c r="A149" s="197"/>
      <c r="B149" s="184" t="str">
        <f>IF(OR(B114="Podnik 7.",B114=""),"",B114)</f>
        <v/>
      </c>
      <c r="C149" s="580" t="str">
        <f t="shared" si="103"/>
        <v/>
      </c>
      <c r="D149" s="581"/>
      <c r="E149" s="287"/>
      <c r="F149" s="642"/>
      <c r="G149" s="643"/>
      <c r="H149" s="643"/>
      <c r="I149" s="644"/>
      <c r="J149" s="286"/>
      <c r="K149" s="286"/>
      <c r="L149" s="1"/>
      <c r="M149" s="2"/>
      <c r="N149" s="194"/>
      <c r="S149"/>
      <c r="T149" s="155"/>
      <c r="Y149" s="185">
        <f t="shared" si="104"/>
        <v>0</v>
      </c>
      <c r="AA149" s="185">
        <f t="shared" si="105"/>
        <v>0</v>
      </c>
      <c r="AC149" s="185">
        <f t="shared" si="106"/>
        <v>0</v>
      </c>
      <c r="AE149" s="185">
        <f t="shared" si="107"/>
        <v>0</v>
      </c>
      <c r="AG149" s="185">
        <f t="shared" si="108"/>
        <v>0</v>
      </c>
    </row>
    <row r="150" spans="1:33" ht="15.6" customHeight="1" x14ac:dyDescent="0.25">
      <c r="A150" s="197"/>
      <c r="B150" s="184" t="str">
        <f>IF(OR(B115="Podnik 8.",B115=""),"",B115)</f>
        <v/>
      </c>
      <c r="C150" s="580" t="str">
        <f t="shared" si="103"/>
        <v/>
      </c>
      <c r="D150" s="581"/>
      <c r="E150" s="287"/>
      <c r="F150" s="642"/>
      <c r="G150" s="643"/>
      <c r="H150" s="643"/>
      <c r="I150" s="644"/>
      <c r="J150" s="286"/>
      <c r="K150" s="286"/>
      <c r="L150" s="1"/>
      <c r="M150" s="2"/>
      <c r="N150" s="194"/>
      <c r="S150"/>
      <c r="T150" s="155"/>
      <c r="Y150" s="185">
        <f t="shared" si="104"/>
        <v>0</v>
      </c>
      <c r="AA150" s="185">
        <f t="shared" si="105"/>
        <v>0</v>
      </c>
      <c r="AC150" s="185">
        <f t="shared" si="106"/>
        <v>0</v>
      </c>
      <c r="AE150" s="185">
        <f t="shared" si="107"/>
        <v>0</v>
      </c>
      <c r="AG150" s="185">
        <f t="shared" si="108"/>
        <v>0</v>
      </c>
    </row>
    <row r="151" spans="1:33" ht="15.6" customHeight="1" x14ac:dyDescent="0.25">
      <c r="A151" s="197"/>
      <c r="B151" s="184" t="str">
        <f>IF(OR(B116="Podnik 9.",B116=""),"",B116)</f>
        <v/>
      </c>
      <c r="C151" s="580" t="str">
        <f t="shared" si="103"/>
        <v/>
      </c>
      <c r="D151" s="581"/>
      <c r="E151" s="287"/>
      <c r="F151" s="642"/>
      <c r="G151" s="643"/>
      <c r="H151" s="643"/>
      <c r="I151" s="644"/>
      <c r="J151" s="286"/>
      <c r="K151" s="286"/>
      <c r="L151" s="1"/>
      <c r="M151" s="2"/>
      <c r="N151" s="194"/>
      <c r="S151"/>
      <c r="T151" s="155"/>
      <c r="Y151" s="185">
        <f t="shared" si="104"/>
        <v>0</v>
      </c>
      <c r="AA151" s="185">
        <f t="shared" si="105"/>
        <v>0</v>
      </c>
      <c r="AC151" s="185">
        <f t="shared" si="106"/>
        <v>0</v>
      </c>
      <c r="AE151" s="185">
        <f t="shared" si="107"/>
        <v>0</v>
      </c>
      <c r="AG151" s="185">
        <f t="shared" si="108"/>
        <v>0</v>
      </c>
    </row>
    <row r="152" spans="1:33" ht="15.6" customHeight="1" x14ac:dyDescent="0.25">
      <c r="A152" s="197"/>
      <c r="B152" s="184" t="str">
        <f>IF(OR(B117="Podnik 10.",B117=""),"",B117)</f>
        <v/>
      </c>
      <c r="C152" s="580" t="str">
        <f t="shared" si="103"/>
        <v/>
      </c>
      <c r="D152" s="581"/>
      <c r="E152" s="287"/>
      <c r="F152" s="642"/>
      <c r="G152" s="643"/>
      <c r="H152" s="643"/>
      <c r="I152" s="644"/>
      <c r="J152" s="286"/>
      <c r="K152" s="286"/>
      <c r="L152" s="1"/>
      <c r="M152" s="2"/>
      <c r="N152" s="194"/>
      <c r="S152"/>
      <c r="T152" s="155"/>
      <c r="Y152" s="185">
        <f t="shared" si="104"/>
        <v>0</v>
      </c>
      <c r="AA152" s="185">
        <f t="shared" si="105"/>
        <v>0</v>
      </c>
      <c r="AC152" s="185">
        <f t="shared" si="106"/>
        <v>0</v>
      </c>
      <c r="AE152" s="185">
        <f t="shared" si="107"/>
        <v>0</v>
      </c>
      <c r="AG152" s="185">
        <f t="shared" si="108"/>
        <v>0</v>
      </c>
    </row>
    <row r="153" spans="1:33" ht="15.6" customHeight="1" x14ac:dyDescent="0.25">
      <c r="A153" s="197"/>
      <c r="B153" s="184" t="str">
        <f>IF(OR(B118="Podnik 11.",B118=""),"",B118)</f>
        <v/>
      </c>
      <c r="C153" s="580" t="str">
        <f t="shared" si="103"/>
        <v/>
      </c>
      <c r="D153" s="581"/>
      <c r="E153" s="287"/>
      <c r="F153" s="642"/>
      <c r="G153" s="643"/>
      <c r="H153" s="643"/>
      <c r="I153" s="644"/>
      <c r="J153" s="286"/>
      <c r="K153" s="286"/>
      <c r="L153" s="1"/>
      <c r="M153" s="2"/>
      <c r="N153" s="194"/>
      <c r="S153"/>
      <c r="T153" s="155"/>
      <c r="Y153" s="185">
        <f t="shared" si="104"/>
        <v>0</v>
      </c>
      <c r="AA153" s="185">
        <f t="shared" si="105"/>
        <v>0</v>
      </c>
      <c r="AC153" s="185">
        <f t="shared" si="106"/>
        <v>0</v>
      </c>
      <c r="AE153" s="185">
        <f t="shared" si="107"/>
        <v>0</v>
      </c>
      <c r="AG153" s="185">
        <f t="shared" si="108"/>
        <v>0</v>
      </c>
    </row>
    <row r="154" spans="1:33" ht="15.6" customHeight="1" x14ac:dyDescent="0.25">
      <c r="A154" s="197"/>
      <c r="B154" s="184" t="str">
        <f>IF(OR(B119="Podnik 12.",B119=""),"",B119)</f>
        <v/>
      </c>
      <c r="C154" s="580" t="str">
        <f t="shared" si="103"/>
        <v/>
      </c>
      <c r="D154" s="581"/>
      <c r="E154" s="287"/>
      <c r="F154" s="642"/>
      <c r="G154" s="643"/>
      <c r="H154" s="643"/>
      <c r="I154" s="644"/>
      <c r="J154" s="286"/>
      <c r="K154" s="286"/>
      <c r="L154" s="1"/>
      <c r="M154" s="2"/>
      <c r="N154" s="194"/>
      <c r="S154"/>
      <c r="T154" s="155"/>
      <c r="Y154" s="185">
        <f t="shared" si="104"/>
        <v>0</v>
      </c>
      <c r="AA154" s="185">
        <f t="shared" si="105"/>
        <v>0</v>
      </c>
      <c r="AC154" s="185">
        <f t="shared" si="106"/>
        <v>0</v>
      </c>
      <c r="AE154" s="185">
        <f t="shared" si="107"/>
        <v>0</v>
      </c>
      <c r="AG154" s="185">
        <f t="shared" si="108"/>
        <v>0</v>
      </c>
    </row>
    <row r="155" spans="1:33" ht="15.6" customHeight="1" x14ac:dyDescent="0.25">
      <c r="A155" s="197"/>
      <c r="B155" s="184" t="str">
        <f>IF(OR(B120="Podnik 13.",B120=""),"",B120)</f>
        <v/>
      </c>
      <c r="C155" s="580" t="str">
        <f t="shared" si="103"/>
        <v/>
      </c>
      <c r="D155" s="581"/>
      <c r="E155" s="287"/>
      <c r="F155" s="642"/>
      <c r="G155" s="643"/>
      <c r="H155" s="643"/>
      <c r="I155" s="644"/>
      <c r="J155" s="286"/>
      <c r="K155" s="286"/>
      <c r="L155" s="1"/>
      <c r="M155" s="2"/>
      <c r="N155" s="194"/>
      <c r="S155"/>
      <c r="T155" s="155"/>
      <c r="Y155" s="185">
        <f t="shared" si="104"/>
        <v>0</v>
      </c>
      <c r="AA155" s="185">
        <f t="shared" si="105"/>
        <v>0</v>
      </c>
      <c r="AC155" s="185">
        <f t="shared" si="106"/>
        <v>0</v>
      </c>
      <c r="AE155" s="185">
        <f t="shared" si="107"/>
        <v>0</v>
      </c>
      <c r="AG155" s="185">
        <f t="shared" si="108"/>
        <v>0</v>
      </c>
    </row>
    <row r="156" spans="1:33" ht="15.6" customHeight="1" x14ac:dyDescent="0.25">
      <c r="A156" s="197"/>
      <c r="B156" s="184" t="str">
        <f>IF(OR(B121="Podnik 14.",B121=""),"",B121)</f>
        <v/>
      </c>
      <c r="C156" s="580" t="str">
        <f t="shared" si="103"/>
        <v/>
      </c>
      <c r="D156" s="581"/>
      <c r="E156" s="287"/>
      <c r="F156" s="642"/>
      <c r="G156" s="643"/>
      <c r="H156" s="643"/>
      <c r="I156" s="644"/>
      <c r="J156" s="286"/>
      <c r="K156" s="286"/>
      <c r="L156" s="1"/>
      <c r="M156" s="2"/>
      <c r="N156" s="194"/>
      <c r="S156"/>
      <c r="T156" s="155"/>
      <c r="Y156" s="185">
        <f t="shared" si="104"/>
        <v>0</v>
      </c>
      <c r="AA156" s="185">
        <f t="shared" si="105"/>
        <v>0</v>
      </c>
      <c r="AC156" s="185">
        <f t="shared" si="106"/>
        <v>0</v>
      </c>
      <c r="AE156" s="185">
        <f t="shared" si="107"/>
        <v>0</v>
      </c>
      <c r="AG156" s="185">
        <f t="shared" si="108"/>
        <v>0</v>
      </c>
    </row>
    <row r="157" spans="1:33" ht="15.6" customHeight="1" x14ac:dyDescent="0.25">
      <c r="A157" s="197"/>
      <c r="B157" s="184" t="str">
        <f>IF(OR(B122="Podnik 15.",B122=""),"",B122)</f>
        <v/>
      </c>
      <c r="C157" s="580" t="str">
        <f t="shared" si="103"/>
        <v/>
      </c>
      <c r="D157" s="581"/>
      <c r="E157" s="287"/>
      <c r="F157" s="642"/>
      <c r="G157" s="643"/>
      <c r="H157" s="643"/>
      <c r="I157" s="644"/>
      <c r="J157" s="286"/>
      <c r="K157" s="286"/>
      <c r="L157" s="1"/>
      <c r="M157" s="2"/>
      <c r="N157" s="194"/>
      <c r="S157"/>
      <c r="T157" s="155"/>
      <c r="Y157" s="185">
        <f t="shared" si="104"/>
        <v>0</v>
      </c>
      <c r="AA157" s="185">
        <f t="shared" si="105"/>
        <v>0</v>
      </c>
      <c r="AC157" s="185">
        <f t="shared" si="106"/>
        <v>0</v>
      </c>
      <c r="AE157" s="185">
        <f t="shared" si="107"/>
        <v>0</v>
      </c>
      <c r="AG157" s="185">
        <f t="shared" si="108"/>
        <v>0</v>
      </c>
    </row>
    <row r="158" spans="1:33" ht="15.6" customHeight="1" x14ac:dyDescent="0.25">
      <c r="A158" s="197"/>
      <c r="B158" s="184" t="str">
        <f>IF(OR(B123="Podnik 16.",B123=""),"",B123)</f>
        <v/>
      </c>
      <c r="C158" s="580" t="str">
        <f t="shared" si="103"/>
        <v/>
      </c>
      <c r="D158" s="581"/>
      <c r="E158" s="287"/>
      <c r="F158" s="642"/>
      <c r="G158" s="643"/>
      <c r="H158" s="643"/>
      <c r="I158" s="644"/>
      <c r="J158" s="286"/>
      <c r="K158" s="286"/>
      <c r="L158" s="1"/>
      <c r="M158" s="2"/>
      <c r="N158" s="194"/>
      <c r="S158"/>
      <c r="T158" s="152" t="s">
        <v>428</v>
      </c>
      <c r="Y158" s="185">
        <f t="shared" si="104"/>
        <v>0</v>
      </c>
      <c r="AA158" s="185">
        <f t="shared" si="105"/>
        <v>0</v>
      </c>
      <c r="AC158" s="185">
        <f t="shared" si="106"/>
        <v>0</v>
      </c>
      <c r="AE158" s="185">
        <f t="shared" si="107"/>
        <v>0</v>
      </c>
      <c r="AG158" s="185">
        <f t="shared" si="108"/>
        <v>0</v>
      </c>
    </row>
    <row r="159" spans="1:33" ht="15.6" customHeight="1" x14ac:dyDescent="0.25">
      <c r="A159" s="197"/>
      <c r="B159" s="184" t="str">
        <f>IF(OR(B124="Podnik 17.",B124=""),"",B124)</f>
        <v/>
      </c>
      <c r="C159" s="580" t="str">
        <f t="shared" si="103"/>
        <v/>
      </c>
      <c r="D159" s="581"/>
      <c r="E159" s="287"/>
      <c r="F159" s="642"/>
      <c r="G159" s="643"/>
      <c r="H159" s="643"/>
      <c r="I159" s="644"/>
      <c r="J159" s="286"/>
      <c r="K159" s="286"/>
      <c r="L159" s="1"/>
      <c r="M159" s="2"/>
      <c r="N159" s="194"/>
      <c r="S159"/>
      <c r="T159" s="209" t="str">
        <f>Výpočty!B61</f>
        <v>Chyba v části I.</v>
      </c>
      <c r="Y159" s="185">
        <f t="shared" si="104"/>
        <v>0</v>
      </c>
      <c r="AA159" s="185">
        <f t="shared" si="105"/>
        <v>0</v>
      </c>
      <c r="AC159" s="185">
        <f t="shared" si="106"/>
        <v>0</v>
      </c>
      <c r="AE159" s="185">
        <f t="shared" si="107"/>
        <v>0</v>
      </c>
      <c r="AG159" s="185">
        <f t="shared" si="108"/>
        <v>0</v>
      </c>
    </row>
    <row r="160" spans="1:33" ht="15.6" customHeight="1" x14ac:dyDescent="0.25">
      <c r="A160" s="197"/>
      <c r="B160" s="184" t="str">
        <f>IF(OR(B125="Podnik 18.",B125=""),"",B125)</f>
        <v/>
      </c>
      <c r="C160" s="580" t="str">
        <f t="shared" si="103"/>
        <v/>
      </c>
      <c r="D160" s="581"/>
      <c r="E160" s="287"/>
      <c r="F160" s="642"/>
      <c r="G160" s="643"/>
      <c r="H160" s="643"/>
      <c r="I160" s="644"/>
      <c r="J160" s="286"/>
      <c r="K160" s="286"/>
      <c r="L160" s="1"/>
      <c r="M160" s="2"/>
      <c r="N160" s="194"/>
      <c r="S160"/>
      <c r="T160" s="72" t="s">
        <v>429</v>
      </c>
      <c r="Y160" s="185">
        <f t="shared" ref="Y160:Y172" si="109">IF(C160=$T$30,E160,0)</f>
        <v>0</v>
      </c>
      <c r="AA160" s="185">
        <f t="shared" ref="AA160:AA172" si="110">IF(C160=$T$30,J160,0)</f>
        <v>0</v>
      </c>
      <c r="AC160" s="185">
        <f t="shared" ref="AC160:AC172" si="111">IF(C160=$T$30,K160,0)</f>
        <v>0</v>
      </c>
      <c r="AE160" s="185">
        <f t="shared" ref="AE160:AE172" si="112">IF(C160=$T$30,L160,0)</f>
        <v>0</v>
      </c>
      <c r="AG160" s="185">
        <f t="shared" ref="AG160:AG172" si="113">IF(C160=$T$30,M160,0)</f>
        <v>0</v>
      </c>
    </row>
    <row r="161" spans="1:33" ht="15.6" customHeight="1" x14ac:dyDescent="0.25">
      <c r="A161" s="197"/>
      <c r="B161" s="184" t="str">
        <f>IF(OR(B126="Podnik 19.",B126=""),"",B126)</f>
        <v/>
      </c>
      <c r="C161" s="580" t="str">
        <f t="shared" si="103"/>
        <v/>
      </c>
      <c r="D161" s="581"/>
      <c r="E161" s="287"/>
      <c r="F161" s="642"/>
      <c r="G161" s="643"/>
      <c r="H161" s="643"/>
      <c r="I161" s="644"/>
      <c r="J161" s="286"/>
      <c r="K161" s="286"/>
      <c r="L161" s="1"/>
      <c r="M161" s="2"/>
      <c r="N161" s="194"/>
      <c r="S161"/>
      <c r="T161" s="209" t="str">
        <f>Výpočty!B62</f>
        <v>Chyba v části I.</v>
      </c>
      <c r="Y161" s="185">
        <f t="shared" si="109"/>
        <v>0</v>
      </c>
      <c r="AA161" s="185">
        <f t="shared" si="110"/>
        <v>0</v>
      </c>
      <c r="AC161" s="185">
        <f t="shared" si="111"/>
        <v>0</v>
      </c>
      <c r="AE161" s="185">
        <f t="shared" si="112"/>
        <v>0</v>
      </c>
      <c r="AG161" s="185">
        <f t="shared" si="113"/>
        <v>0</v>
      </c>
    </row>
    <row r="162" spans="1:33" ht="15.6" customHeight="1" x14ac:dyDescent="0.25">
      <c r="A162" s="197"/>
      <c r="B162" s="184" t="str">
        <f>IF(OR(B127="Podnik 20.",B127=""),"",B127)</f>
        <v/>
      </c>
      <c r="C162" s="580" t="str">
        <f t="shared" si="103"/>
        <v/>
      </c>
      <c r="D162" s="581"/>
      <c r="E162" s="287"/>
      <c r="F162" s="642"/>
      <c r="G162" s="643"/>
      <c r="H162" s="643"/>
      <c r="I162" s="644"/>
      <c r="J162" s="286"/>
      <c r="K162" s="286"/>
      <c r="L162" s="1"/>
      <c r="M162" s="2"/>
      <c r="N162" s="194"/>
      <c r="S162"/>
      <c r="T162" s="155"/>
      <c r="Y162" s="185">
        <f t="shared" si="109"/>
        <v>0</v>
      </c>
      <c r="AA162" s="185">
        <f t="shared" si="110"/>
        <v>0</v>
      </c>
      <c r="AC162" s="185">
        <f t="shared" si="111"/>
        <v>0</v>
      </c>
      <c r="AE162" s="185">
        <f t="shared" si="112"/>
        <v>0</v>
      </c>
      <c r="AG162" s="185">
        <f t="shared" si="113"/>
        <v>0</v>
      </c>
    </row>
    <row r="163" spans="1:33" ht="15.6" hidden="1" customHeight="1" x14ac:dyDescent="0.25">
      <c r="A163" s="197"/>
      <c r="B163" s="184" t="str">
        <f>IF(OR(B128="Podnik 21.",B128=""),"",B128)</f>
        <v/>
      </c>
      <c r="C163" s="580" t="str">
        <f t="shared" si="103"/>
        <v/>
      </c>
      <c r="D163" s="581"/>
      <c r="E163" s="287"/>
      <c r="F163" s="642"/>
      <c r="G163" s="643"/>
      <c r="H163" s="643"/>
      <c r="I163" s="644"/>
      <c r="J163" s="286"/>
      <c r="K163" s="286"/>
      <c r="L163" s="1"/>
      <c r="M163" s="2"/>
      <c r="N163" s="194"/>
      <c r="S163"/>
      <c r="T163" s="155"/>
      <c r="Y163" s="185">
        <f t="shared" si="109"/>
        <v>0</v>
      </c>
      <c r="AA163" s="185">
        <f t="shared" si="110"/>
        <v>0</v>
      </c>
      <c r="AC163" s="185">
        <f t="shared" si="111"/>
        <v>0</v>
      </c>
      <c r="AE163" s="185">
        <f t="shared" si="112"/>
        <v>0</v>
      </c>
      <c r="AG163" s="185">
        <f t="shared" si="113"/>
        <v>0</v>
      </c>
    </row>
    <row r="164" spans="1:33" ht="15.6" hidden="1" customHeight="1" x14ac:dyDescent="0.25">
      <c r="A164" s="197"/>
      <c r="B164" s="184" t="str">
        <f>IF(OR(B129="Podnik 22.",B129=""),"",B129)</f>
        <v/>
      </c>
      <c r="C164" s="580" t="str">
        <f t="shared" si="103"/>
        <v/>
      </c>
      <c r="D164" s="581"/>
      <c r="E164" s="287"/>
      <c r="F164" s="642"/>
      <c r="G164" s="643"/>
      <c r="H164" s="643"/>
      <c r="I164" s="644"/>
      <c r="J164" s="286"/>
      <c r="K164" s="286"/>
      <c r="L164" s="1"/>
      <c r="M164" s="2"/>
      <c r="N164" s="194"/>
      <c r="S164"/>
      <c r="T164" s="155"/>
      <c r="Y164" s="185">
        <f t="shared" si="109"/>
        <v>0</v>
      </c>
      <c r="AA164" s="185">
        <f t="shared" si="110"/>
        <v>0</v>
      </c>
      <c r="AC164" s="185">
        <f t="shared" si="111"/>
        <v>0</v>
      </c>
      <c r="AE164" s="185">
        <f t="shared" si="112"/>
        <v>0</v>
      </c>
      <c r="AG164" s="185">
        <f t="shared" si="113"/>
        <v>0</v>
      </c>
    </row>
    <row r="165" spans="1:33" ht="15.6" hidden="1" customHeight="1" x14ac:dyDescent="0.25">
      <c r="A165" s="197"/>
      <c r="B165" s="184" t="str">
        <f>IF(OR(B130="Podnik 23.",B130=""),"",B130)</f>
        <v/>
      </c>
      <c r="C165" s="580" t="str">
        <f t="shared" si="103"/>
        <v/>
      </c>
      <c r="D165" s="581"/>
      <c r="E165" s="287"/>
      <c r="F165" s="642"/>
      <c r="G165" s="643"/>
      <c r="H165" s="643"/>
      <c r="I165" s="644"/>
      <c r="J165" s="286"/>
      <c r="K165" s="286"/>
      <c r="L165" s="1"/>
      <c r="M165" s="2"/>
      <c r="N165" s="194"/>
      <c r="S165"/>
      <c r="T165" s="155"/>
      <c r="Y165" s="185">
        <f t="shared" si="109"/>
        <v>0</v>
      </c>
      <c r="AA165" s="185">
        <f t="shared" si="110"/>
        <v>0</v>
      </c>
      <c r="AC165" s="185">
        <f t="shared" si="111"/>
        <v>0</v>
      </c>
      <c r="AE165" s="185">
        <f t="shared" si="112"/>
        <v>0</v>
      </c>
      <c r="AG165" s="185">
        <f t="shared" si="113"/>
        <v>0</v>
      </c>
    </row>
    <row r="166" spans="1:33" ht="15.6" hidden="1" customHeight="1" x14ac:dyDescent="0.25">
      <c r="A166" s="197"/>
      <c r="B166" s="184" t="str">
        <f>IF(OR(B131="Podnik 24.",B131=""),"",B131)</f>
        <v/>
      </c>
      <c r="C166" s="580" t="str">
        <f t="shared" si="103"/>
        <v/>
      </c>
      <c r="D166" s="581"/>
      <c r="E166" s="287"/>
      <c r="F166" s="642"/>
      <c r="G166" s="643"/>
      <c r="H166" s="643"/>
      <c r="I166" s="644"/>
      <c r="J166" s="286"/>
      <c r="K166" s="286"/>
      <c r="L166" s="1"/>
      <c r="M166" s="2"/>
      <c r="N166" s="194"/>
      <c r="S166"/>
      <c r="T166" s="155"/>
      <c r="Y166" s="185">
        <f t="shared" si="109"/>
        <v>0</v>
      </c>
      <c r="AA166" s="185">
        <f t="shared" si="110"/>
        <v>0</v>
      </c>
      <c r="AC166" s="185">
        <f t="shared" si="111"/>
        <v>0</v>
      </c>
      <c r="AE166" s="185">
        <f t="shared" si="112"/>
        <v>0</v>
      </c>
      <c r="AG166" s="185">
        <f t="shared" si="113"/>
        <v>0</v>
      </c>
    </row>
    <row r="167" spans="1:33" ht="15.6" hidden="1" customHeight="1" x14ac:dyDescent="0.25">
      <c r="A167" s="197"/>
      <c r="B167" s="184" t="str">
        <f>IF(OR(B132="Podnik 25.",B132=""),"",B132)</f>
        <v/>
      </c>
      <c r="C167" s="580" t="str">
        <f t="shared" si="103"/>
        <v/>
      </c>
      <c r="D167" s="581"/>
      <c r="E167" s="287"/>
      <c r="F167" s="642"/>
      <c r="G167" s="643"/>
      <c r="H167" s="643"/>
      <c r="I167" s="644"/>
      <c r="J167" s="286"/>
      <c r="K167" s="286"/>
      <c r="L167" s="1"/>
      <c r="M167" s="2"/>
      <c r="N167" s="194"/>
      <c r="S167"/>
      <c r="T167" s="155"/>
      <c r="Y167" s="185">
        <f t="shared" si="109"/>
        <v>0</v>
      </c>
      <c r="AA167" s="185">
        <f t="shared" si="110"/>
        <v>0</v>
      </c>
      <c r="AC167" s="185">
        <f t="shared" si="111"/>
        <v>0</v>
      </c>
      <c r="AE167" s="185">
        <f t="shared" si="112"/>
        <v>0</v>
      </c>
      <c r="AG167" s="185">
        <f t="shared" si="113"/>
        <v>0</v>
      </c>
    </row>
    <row r="168" spans="1:33" ht="15.6" hidden="1" customHeight="1" x14ac:dyDescent="0.25">
      <c r="A168" s="197"/>
      <c r="B168" s="184" t="str">
        <f>IF(OR(B133="Podnik 26.",B133=""),"",B133)</f>
        <v/>
      </c>
      <c r="C168" s="580" t="str">
        <f t="shared" si="103"/>
        <v/>
      </c>
      <c r="D168" s="581"/>
      <c r="E168" s="287"/>
      <c r="F168" s="642"/>
      <c r="G168" s="643"/>
      <c r="H168" s="643"/>
      <c r="I168" s="644"/>
      <c r="J168" s="286"/>
      <c r="K168" s="286"/>
      <c r="L168" s="1"/>
      <c r="M168" s="2"/>
      <c r="N168" s="194"/>
      <c r="S168"/>
      <c r="T168" s="155"/>
      <c r="Y168" s="185">
        <f t="shared" si="109"/>
        <v>0</v>
      </c>
      <c r="AA168" s="185">
        <f t="shared" si="110"/>
        <v>0</v>
      </c>
      <c r="AC168" s="185">
        <f t="shared" si="111"/>
        <v>0</v>
      </c>
      <c r="AE168" s="185">
        <f t="shared" si="112"/>
        <v>0</v>
      </c>
      <c r="AG168" s="185">
        <f t="shared" si="113"/>
        <v>0</v>
      </c>
    </row>
    <row r="169" spans="1:33" ht="15.6" hidden="1" customHeight="1" x14ac:dyDescent="0.25">
      <c r="A169" s="197"/>
      <c r="B169" s="184" t="str">
        <f>IF(OR(B134="Podnik 27.",B134=""),"",B134)</f>
        <v/>
      </c>
      <c r="C169" s="580" t="str">
        <f t="shared" si="103"/>
        <v/>
      </c>
      <c r="D169" s="581"/>
      <c r="E169" s="287"/>
      <c r="F169" s="642"/>
      <c r="G169" s="643"/>
      <c r="H169" s="643"/>
      <c r="I169" s="644"/>
      <c r="J169" s="286"/>
      <c r="K169" s="286"/>
      <c r="L169" s="1"/>
      <c r="M169" s="2"/>
      <c r="N169" s="194"/>
      <c r="S169"/>
      <c r="T169" s="155"/>
      <c r="Y169" s="185">
        <f t="shared" si="109"/>
        <v>0</v>
      </c>
      <c r="AA169" s="185">
        <f t="shared" si="110"/>
        <v>0</v>
      </c>
      <c r="AC169" s="185">
        <f t="shared" si="111"/>
        <v>0</v>
      </c>
      <c r="AE169" s="185">
        <f t="shared" si="112"/>
        <v>0</v>
      </c>
      <c r="AG169" s="185">
        <f t="shared" si="113"/>
        <v>0</v>
      </c>
    </row>
    <row r="170" spans="1:33" ht="15.6" hidden="1" customHeight="1" x14ac:dyDescent="0.25">
      <c r="A170" s="197"/>
      <c r="B170" s="184" t="str">
        <f>IF(OR(B135="Podnik 28.",B135=""),"",B135)</f>
        <v/>
      </c>
      <c r="C170" s="580" t="str">
        <f t="shared" si="103"/>
        <v/>
      </c>
      <c r="D170" s="581"/>
      <c r="E170" s="287"/>
      <c r="F170" s="642"/>
      <c r="G170" s="643"/>
      <c r="H170" s="643"/>
      <c r="I170" s="644"/>
      <c r="J170" s="286"/>
      <c r="K170" s="286"/>
      <c r="L170" s="1"/>
      <c r="M170" s="2"/>
      <c r="N170" s="194"/>
      <c r="S170"/>
      <c r="T170" s="155"/>
      <c r="Y170" s="185">
        <f t="shared" si="109"/>
        <v>0</v>
      </c>
      <c r="AA170" s="185">
        <f t="shared" si="110"/>
        <v>0</v>
      </c>
      <c r="AC170" s="185">
        <f t="shared" si="111"/>
        <v>0</v>
      </c>
      <c r="AE170" s="185">
        <f t="shared" si="112"/>
        <v>0</v>
      </c>
      <c r="AG170" s="185">
        <f t="shared" si="113"/>
        <v>0</v>
      </c>
    </row>
    <row r="171" spans="1:33" ht="15.6" hidden="1" customHeight="1" x14ac:dyDescent="0.25">
      <c r="A171" s="197"/>
      <c r="B171" s="184" t="str">
        <f>IF(OR(B136="Podnik 29.",B136=""),"",B136)</f>
        <v/>
      </c>
      <c r="C171" s="580" t="str">
        <f t="shared" si="103"/>
        <v/>
      </c>
      <c r="D171" s="581"/>
      <c r="E171" s="287"/>
      <c r="F171" s="642"/>
      <c r="G171" s="643"/>
      <c r="H171" s="643"/>
      <c r="I171" s="644"/>
      <c r="J171" s="286"/>
      <c r="K171" s="286"/>
      <c r="L171" s="1"/>
      <c r="M171" s="2"/>
      <c r="N171" s="194"/>
      <c r="S171"/>
      <c r="T171" s="155"/>
      <c r="Y171" s="185">
        <f t="shared" si="109"/>
        <v>0</v>
      </c>
      <c r="AA171" s="185">
        <f t="shared" si="110"/>
        <v>0</v>
      </c>
      <c r="AC171" s="185">
        <f t="shared" si="111"/>
        <v>0</v>
      </c>
      <c r="AE171" s="185">
        <f t="shared" si="112"/>
        <v>0</v>
      </c>
      <c r="AG171" s="185">
        <f t="shared" si="113"/>
        <v>0</v>
      </c>
    </row>
    <row r="172" spans="1:33" ht="15.6" hidden="1" customHeight="1" x14ac:dyDescent="0.25">
      <c r="A172" s="197"/>
      <c r="B172" s="184" t="str">
        <f>IF(OR(B137="Podnik 30.",B137=""),"",B137)</f>
        <v/>
      </c>
      <c r="C172" s="580" t="str">
        <f t="shared" si="103"/>
        <v/>
      </c>
      <c r="D172" s="581"/>
      <c r="E172" s="287"/>
      <c r="F172" s="642"/>
      <c r="G172" s="643"/>
      <c r="H172" s="643"/>
      <c r="I172" s="644"/>
      <c r="J172" s="286"/>
      <c r="K172" s="286"/>
      <c r="L172" s="1"/>
      <c r="M172" s="2"/>
      <c r="N172" s="194"/>
      <c r="S172"/>
      <c r="T172" s="155"/>
      <c r="Y172" s="185">
        <f t="shared" si="109"/>
        <v>0</v>
      </c>
      <c r="AA172" s="185">
        <f t="shared" si="110"/>
        <v>0</v>
      </c>
      <c r="AC172" s="185">
        <f t="shared" si="111"/>
        <v>0</v>
      </c>
      <c r="AE172" s="185">
        <f t="shared" si="112"/>
        <v>0</v>
      </c>
      <c r="AG172" s="185">
        <f t="shared" si="113"/>
        <v>0</v>
      </c>
    </row>
    <row r="173" spans="1:33" ht="15.6" customHeight="1" thickBot="1" x14ac:dyDescent="0.3">
      <c r="A173" s="197"/>
      <c r="B173" s="186" t="s">
        <v>73</v>
      </c>
      <c r="C173" s="187"/>
      <c r="D173" s="188"/>
      <c r="E173" s="189">
        <f>SUM(E143:E172)</f>
        <v>0</v>
      </c>
      <c r="F173" s="645"/>
      <c r="G173" s="646"/>
      <c r="H173" s="646"/>
      <c r="I173" s="647"/>
      <c r="J173" s="190">
        <f>SUM(J143:J172)</f>
        <v>0</v>
      </c>
      <c r="K173" s="190">
        <f>SUM(K143:K172)</f>
        <v>0</v>
      </c>
      <c r="L173" s="190">
        <f>SUM(L143:L172)</f>
        <v>0</v>
      </c>
      <c r="M173" s="191">
        <f>SUM(M143:M172)</f>
        <v>0</v>
      </c>
      <c r="N173" s="194"/>
      <c r="S173"/>
      <c r="T173" s="155"/>
    </row>
    <row r="174" spans="1:33" ht="20.25" customHeight="1" x14ac:dyDescent="0.25">
      <c r="A174" s="192"/>
      <c r="B174" s="193"/>
      <c r="C174" s="193"/>
      <c r="D174" s="194"/>
      <c r="E174" s="194"/>
      <c r="F174" s="193"/>
      <c r="G174" s="195"/>
      <c r="H174" s="196"/>
      <c r="I174" s="196"/>
      <c r="J174" s="196"/>
      <c r="K174" s="196"/>
      <c r="L174" s="194"/>
      <c r="M174" s="194"/>
      <c r="N174" s="194"/>
      <c r="S174"/>
      <c r="U174"/>
    </row>
    <row r="175" spans="1:33" ht="20.25" customHeight="1" thickBot="1" x14ac:dyDescent="0.3">
      <c r="A175" s="204"/>
      <c r="B175" s="205"/>
      <c r="C175" s="205"/>
      <c r="D175" s="206"/>
      <c r="E175" s="206"/>
      <c r="F175" s="205"/>
      <c r="G175" s="207"/>
      <c r="H175" s="208"/>
      <c r="I175" s="208"/>
      <c r="J175" s="208"/>
      <c r="K175" s="208"/>
      <c r="L175" s="206"/>
      <c r="M175" s="206"/>
      <c r="N175" s="206"/>
      <c r="S175"/>
    </row>
    <row r="176" spans="1:33" ht="21" customHeight="1" x14ac:dyDescent="0.25">
      <c r="A176" s="210" t="s">
        <v>419</v>
      </c>
      <c r="B176" s="725" t="s">
        <v>372</v>
      </c>
      <c r="C176" s="726"/>
      <c r="D176" s="731" t="str">
        <f>IF(AND(E11="Ano",E13="Ano"),"","Podniky (právnické osoby), které vedou účetnictví a nemají ZK ani minimální kapitálový požadavek a žádný ze společníků neručí plně za závazky.")</f>
        <v>Podniky (právnické osoby), které vedou účetnictví a nemají ZK ani minimální kapitálový požadavek a žádný ze společníků neručí plně za závazky.</v>
      </c>
      <c r="E176" s="731"/>
      <c r="F176" s="731"/>
      <c r="G176" s="731"/>
      <c r="H176" s="731"/>
      <c r="I176" s="731"/>
      <c r="J176" s="731"/>
      <c r="K176" s="731"/>
      <c r="L176" s="731"/>
      <c r="M176" s="732"/>
      <c r="N176" s="206"/>
      <c r="S176"/>
    </row>
    <row r="177" spans="1:37" ht="17.45" customHeight="1" x14ac:dyDescent="0.25">
      <c r="A177" s="210"/>
      <c r="B177" s="727"/>
      <c r="C177" s="728"/>
      <c r="D177" s="394" t="str">
        <f>IF(AND(E11="Ano",E13="Ano"),"","Podniky, které vedou jednoduché účetnictví, nebo daňovou evidenci, a ani jeden ze společníků neručí plně za závazky (bez ohledu na ZK nebo min. kap požadavek).")</f>
        <v>Podniky, které vedou jednoduché účetnictví, nebo daňovou evidenci, a ani jeden ze společníků neručí plně za závazky (bez ohledu na ZK nebo min. kap požadavek).</v>
      </c>
      <c r="E177" s="392"/>
      <c r="F177" s="392"/>
      <c r="G177" s="392"/>
      <c r="H177" s="392"/>
      <c r="I177" s="392"/>
      <c r="J177" s="392"/>
      <c r="K177" s="392"/>
      <c r="L177" s="392"/>
      <c r="M177" s="393"/>
      <c r="N177" s="206"/>
      <c r="S177"/>
    </row>
    <row r="178" spans="1:37" ht="20.25" customHeight="1" thickBot="1" x14ac:dyDescent="0.3">
      <c r="A178" s="210"/>
      <c r="B178" s="729"/>
      <c r="C178" s="730"/>
      <c r="D178" s="733" t="str">
        <f>IF(E11="ANO","Fyzické osoby podnikající (OSVČ), které vedou daňovou evidenci.","(Zde nepatří OSVČ - OSVČ vložte do Kritérie B, viz tabulka III.B)")</f>
        <v>(Zde nepatří OSVČ - OSVČ vložte do Kritérie B, viz tabulka III.B)</v>
      </c>
      <c r="E178" s="734"/>
      <c r="F178" s="734"/>
      <c r="G178" s="734"/>
      <c r="H178" s="734"/>
      <c r="I178" s="734"/>
      <c r="J178" s="734"/>
      <c r="K178" s="734"/>
      <c r="L178" s="734"/>
      <c r="M178" s="735"/>
      <c r="N178" s="206"/>
      <c r="S178"/>
    </row>
    <row r="179" spans="1:37" ht="20.25" customHeight="1" x14ac:dyDescent="0.25">
      <c r="A179" s="210"/>
      <c r="B179" s="736" t="str">
        <f>B31</f>
        <v>Obchodní jméno podniku</v>
      </c>
      <c r="C179" s="738" t="s">
        <v>499</v>
      </c>
      <c r="D179" s="626"/>
      <c r="E179" s="583" t="s">
        <v>495</v>
      </c>
      <c r="F179" s="584"/>
      <c r="G179" s="584"/>
      <c r="H179" s="584"/>
      <c r="I179" s="584"/>
      <c r="J179" s="211"/>
      <c r="K179" s="715" t="s">
        <v>87</v>
      </c>
      <c r="L179" s="716"/>
      <c r="M179" s="717"/>
      <c r="N179" s="206"/>
      <c r="S179"/>
      <c r="V179"/>
      <c r="W179"/>
      <c r="X179"/>
      <c r="Y179"/>
      <c r="Z179"/>
      <c r="AA179"/>
      <c r="AB179"/>
      <c r="AC179"/>
      <c r="AD179"/>
      <c r="AE179"/>
      <c r="AF179"/>
      <c r="AG179"/>
      <c r="AH179"/>
      <c r="AI179"/>
      <c r="AJ179"/>
      <c r="AK179"/>
    </row>
    <row r="180" spans="1:37" ht="55.5" customHeight="1" x14ac:dyDescent="0.25">
      <c r="A180" s="210"/>
      <c r="B180" s="737"/>
      <c r="C180" s="739"/>
      <c r="D180" s="740"/>
      <c r="E180" s="212" t="s">
        <v>15</v>
      </c>
      <c r="F180" s="213" t="s">
        <v>30</v>
      </c>
      <c r="G180" s="213" t="s">
        <v>72</v>
      </c>
      <c r="H180" s="213" t="s">
        <v>83</v>
      </c>
      <c r="I180" s="213" t="s">
        <v>81</v>
      </c>
      <c r="J180" s="213" t="s">
        <v>99</v>
      </c>
      <c r="K180" s="214" t="s">
        <v>23</v>
      </c>
      <c r="L180" s="214" t="s">
        <v>25</v>
      </c>
      <c r="M180" s="215" t="s">
        <v>82</v>
      </c>
      <c r="N180" s="206"/>
      <c r="S180"/>
      <c r="V180"/>
      <c r="W180"/>
      <c r="X180"/>
      <c r="Y180"/>
      <c r="Z180"/>
      <c r="AA180"/>
      <c r="AB180"/>
      <c r="AC180"/>
      <c r="AD180"/>
      <c r="AE180"/>
      <c r="AF180"/>
      <c r="AG180"/>
      <c r="AH180"/>
      <c r="AI180"/>
      <c r="AJ180"/>
      <c r="AK180"/>
    </row>
    <row r="181" spans="1:37" ht="20.100000000000001" customHeight="1" thickBot="1" x14ac:dyDescent="0.3">
      <c r="A181" s="210"/>
      <c r="B181" s="741" t="s">
        <v>415</v>
      </c>
      <c r="C181" s="742"/>
      <c r="D181" s="743"/>
      <c r="E181" s="718" t="str">
        <f>E142</f>
        <v>Uveďte údaje z konsolidované účetní závěrky, je-li k dispozici.</v>
      </c>
      <c r="F181" s="719"/>
      <c r="G181" s="719"/>
      <c r="H181" s="719"/>
      <c r="I181" s="719"/>
      <c r="J181" s="719"/>
      <c r="K181" s="719"/>
      <c r="L181" s="719"/>
      <c r="M181" s="720"/>
      <c r="N181" s="206"/>
      <c r="O181" s="173" t="s">
        <v>482</v>
      </c>
      <c r="P181" s="173" t="s">
        <v>483</v>
      </c>
      <c r="V181" s="216" t="s">
        <v>430</v>
      </c>
      <c r="W181" s="216"/>
      <c r="X181"/>
      <c r="Y181"/>
      <c r="Z181"/>
      <c r="AA181"/>
      <c r="AB181"/>
      <c r="AC181"/>
      <c r="AD181"/>
      <c r="AE181"/>
      <c r="AF181"/>
      <c r="AG181"/>
      <c r="AH181"/>
      <c r="AI181"/>
      <c r="AJ181"/>
      <c r="AK181"/>
    </row>
    <row r="182" spans="1:37" ht="15.6" customHeight="1" x14ac:dyDescent="0.25">
      <c r="A182" s="210"/>
      <c r="B182" s="382" t="s">
        <v>503</v>
      </c>
      <c r="C182" s="749"/>
      <c r="D182" s="750"/>
      <c r="E182" s="384"/>
      <c r="F182" s="744" t="s">
        <v>84</v>
      </c>
      <c r="G182" s="744"/>
      <c r="H182" s="744"/>
      <c r="I182" s="744"/>
      <c r="J182" s="385"/>
      <c r="K182" s="385"/>
      <c r="L182" s="385"/>
      <c r="M182" s="386"/>
      <c r="N182" s="206"/>
      <c r="O182" s="70">
        <f>IF(OR(E182&lt;&gt;0,J182&lt;&gt;0,K182&lt;&gt;0,L182&lt;&gt;0,M182&lt;&gt;0),1,0)</f>
        <v>0</v>
      </c>
      <c r="P182" s="70">
        <f>IF(AND(C182="",O182=1),1,0)</f>
        <v>0</v>
      </c>
      <c r="Q182" s="70">
        <f t="shared" ref="Q182:Q197" si="114">IF(C182=$T$28,1,0)</f>
        <v>0</v>
      </c>
      <c r="R182" s="70">
        <f>IF(C182=$T$30,1,0)</f>
        <v>0</v>
      </c>
      <c r="S182"/>
      <c r="V182" s="70" t="str">
        <f t="shared" ref="V182:V211" si="115">B182</f>
        <v>Podnik 1.</v>
      </c>
      <c r="W182" s="217">
        <f t="shared" ref="W182:W197" si="116">IF(C182="",0,IF(C182=$T$28,0,1))</f>
        <v>0</v>
      </c>
      <c r="X182" s="70">
        <f t="shared" ref="X182" si="117">IF(C182=$T$28,E182,0)</f>
        <v>0</v>
      </c>
      <c r="Y182" s="70">
        <f t="shared" ref="Y182" si="118">IF(C182=$T$30,E182,0)</f>
        <v>0</v>
      </c>
      <c r="Z182" s="70">
        <f t="shared" ref="Z182" si="119">IF(C182=$T$28,J182,0)</f>
        <v>0</v>
      </c>
      <c r="AA182" s="70">
        <f t="shared" ref="AA182" si="120">IF(C182=$T$30,J182,0)</f>
        <v>0</v>
      </c>
      <c r="AB182" s="70">
        <f t="shared" ref="AB182" si="121">IF(C182=$T$28,K182,0)</f>
        <v>0</v>
      </c>
      <c r="AC182" s="70">
        <f t="shared" ref="AC182" si="122">IF(C182=$T$30,K182,0)</f>
        <v>0</v>
      </c>
      <c r="AD182" s="70">
        <f t="shared" ref="AD182" si="123">IF(C182=$T$28,L182,0)</f>
        <v>0</v>
      </c>
      <c r="AE182" s="70">
        <f t="shared" ref="AE182" si="124">IF(C182=$T$30,L182,0)</f>
        <v>0</v>
      </c>
      <c r="AF182" s="70">
        <f t="shared" ref="AF182" si="125">IF(C182=$T$28,M182,0)</f>
        <v>0</v>
      </c>
      <c r="AG182" s="70">
        <f t="shared" ref="AG182" si="126">IF(C182=$T$30,M182,0)</f>
        <v>0</v>
      </c>
      <c r="AH182"/>
      <c r="AI182"/>
      <c r="AJ182"/>
      <c r="AK182"/>
    </row>
    <row r="183" spans="1:37" ht="15.6" customHeight="1" x14ac:dyDescent="0.25">
      <c r="A183" s="210"/>
      <c r="B183" s="288" t="s">
        <v>504</v>
      </c>
      <c r="C183" s="585"/>
      <c r="D183" s="586"/>
      <c r="E183" s="289"/>
      <c r="F183" s="745"/>
      <c r="G183" s="745"/>
      <c r="H183" s="745"/>
      <c r="I183" s="745"/>
      <c r="J183" s="292"/>
      <c r="K183" s="292"/>
      <c r="L183" s="292"/>
      <c r="M183" s="293"/>
      <c r="N183" s="206"/>
      <c r="O183" s="70">
        <f t="shared" ref="O183:O197" si="127">IF(OR(E183&lt;&gt;0,J183&lt;&gt;0,K183&lt;&gt;0,L183&lt;&gt;0,M183&lt;&gt;0),1,0)</f>
        <v>0</v>
      </c>
      <c r="P183" s="70">
        <f t="shared" ref="P183:P197" si="128">IF(AND(C183="",O183=1),1,0)</f>
        <v>0</v>
      </c>
      <c r="Q183" s="70">
        <f t="shared" si="114"/>
        <v>0</v>
      </c>
      <c r="R183" s="70">
        <f t="shared" ref="R183:R197" si="129">IF(C183=$T$30,1,0)</f>
        <v>0</v>
      </c>
      <c r="S183"/>
      <c r="V183" s="70" t="str">
        <f t="shared" si="115"/>
        <v>Podnik 2.</v>
      </c>
      <c r="W183" s="217">
        <f t="shared" si="116"/>
        <v>0</v>
      </c>
      <c r="X183" s="70">
        <f t="shared" ref="X183:X198" si="130">IF(C183=$T$28,E183,0)</f>
        <v>0</v>
      </c>
      <c r="Y183" s="70">
        <f t="shared" ref="Y183:Y198" si="131">IF(C183=$T$30,E183,0)</f>
        <v>0</v>
      </c>
      <c r="Z183" s="70">
        <f t="shared" ref="Z183:Z198" si="132">IF(C183=$T$28,J183,0)</f>
        <v>0</v>
      </c>
      <c r="AA183" s="70">
        <f t="shared" ref="AA183:AA198" si="133">IF(C183=$T$30,J183,0)</f>
        <v>0</v>
      </c>
      <c r="AB183" s="70">
        <f t="shared" ref="AB183:AB198" si="134">IF(C183=$T$28,K183,0)</f>
        <v>0</v>
      </c>
      <c r="AC183" s="70">
        <f t="shared" ref="AC183:AC198" si="135">IF(C183=$T$30,K183,0)</f>
        <v>0</v>
      </c>
      <c r="AD183" s="70">
        <f t="shared" ref="AD183:AD198" si="136">IF(C183=$T$28,L183,0)</f>
        <v>0</v>
      </c>
      <c r="AE183" s="70">
        <f t="shared" ref="AE183:AE198" si="137">IF(C183=$T$30,L183,0)</f>
        <v>0</v>
      </c>
      <c r="AF183" s="70">
        <f t="shared" ref="AF183:AF198" si="138">IF(C183=$T$28,M183,0)</f>
        <v>0</v>
      </c>
      <c r="AG183" s="70">
        <f t="shared" ref="AG183:AG198" si="139">IF(C183=$T$30,M183,0)</f>
        <v>0</v>
      </c>
      <c r="AH183"/>
      <c r="AI183"/>
      <c r="AJ183"/>
      <c r="AK183"/>
    </row>
    <row r="184" spans="1:37" ht="15.6" customHeight="1" x14ac:dyDescent="0.25">
      <c r="A184" s="210"/>
      <c r="B184" s="290" t="s">
        <v>505</v>
      </c>
      <c r="C184" s="585"/>
      <c r="D184" s="586"/>
      <c r="E184" s="289"/>
      <c r="F184" s="746"/>
      <c r="G184" s="746"/>
      <c r="H184" s="746"/>
      <c r="I184" s="746"/>
      <c r="J184" s="294"/>
      <c r="K184" s="294"/>
      <c r="L184" s="292"/>
      <c r="M184" s="293"/>
      <c r="N184" s="206"/>
      <c r="O184" s="70">
        <f t="shared" si="127"/>
        <v>0</v>
      </c>
      <c r="P184" s="70">
        <f t="shared" si="128"/>
        <v>0</v>
      </c>
      <c r="Q184" s="70">
        <f t="shared" si="114"/>
        <v>0</v>
      </c>
      <c r="R184" s="70">
        <f t="shared" si="129"/>
        <v>0</v>
      </c>
      <c r="S184"/>
      <c r="V184" s="70" t="str">
        <f t="shared" si="115"/>
        <v>Podnik 3.</v>
      </c>
      <c r="W184" s="217">
        <f t="shared" si="116"/>
        <v>0</v>
      </c>
      <c r="X184" s="70">
        <f t="shared" si="130"/>
        <v>0</v>
      </c>
      <c r="Y184" s="70">
        <f t="shared" si="131"/>
        <v>0</v>
      </c>
      <c r="Z184" s="70">
        <f t="shared" si="132"/>
        <v>0</v>
      </c>
      <c r="AA184" s="70">
        <f t="shared" si="133"/>
        <v>0</v>
      </c>
      <c r="AB184" s="70">
        <f t="shared" si="134"/>
        <v>0</v>
      </c>
      <c r="AC184" s="70">
        <f t="shared" si="135"/>
        <v>0</v>
      </c>
      <c r="AD184" s="70">
        <f t="shared" si="136"/>
        <v>0</v>
      </c>
      <c r="AE184" s="70">
        <f t="shared" si="137"/>
        <v>0</v>
      </c>
      <c r="AF184" s="70">
        <f t="shared" si="138"/>
        <v>0</v>
      </c>
      <c r="AG184" s="70">
        <f t="shared" si="139"/>
        <v>0</v>
      </c>
      <c r="AH184"/>
      <c r="AI184"/>
      <c r="AJ184"/>
      <c r="AK184"/>
    </row>
    <row r="185" spans="1:37" ht="15.6" customHeight="1" x14ac:dyDescent="0.25">
      <c r="A185" s="210"/>
      <c r="B185" s="290" t="s">
        <v>506</v>
      </c>
      <c r="C185" s="585"/>
      <c r="D185" s="586"/>
      <c r="E185" s="289"/>
      <c r="F185" s="746"/>
      <c r="G185" s="746"/>
      <c r="H185" s="746"/>
      <c r="I185" s="746"/>
      <c r="J185" s="294"/>
      <c r="K185" s="294"/>
      <c r="L185" s="292"/>
      <c r="M185" s="293"/>
      <c r="N185" s="206"/>
      <c r="O185" s="70">
        <f t="shared" si="127"/>
        <v>0</v>
      </c>
      <c r="P185" s="70">
        <f t="shared" si="128"/>
        <v>0</v>
      </c>
      <c r="Q185" s="70">
        <f t="shared" si="114"/>
        <v>0</v>
      </c>
      <c r="R185" s="70">
        <f t="shared" si="129"/>
        <v>0</v>
      </c>
      <c r="S185"/>
      <c r="V185" s="70" t="str">
        <f t="shared" si="115"/>
        <v>Podnik 4.</v>
      </c>
      <c r="W185" s="217">
        <f t="shared" si="116"/>
        <v>0</v>
      </c>
      <c r="X185" s="70">
        <f t="shared" si="130"/>
        <v>0</v>
      </c>
      <c r="Y185" s="70">
        <f t="shared" si="131"/>
        <v>0</v>
      </c>
      <c r="Z185" s="70">
        <f t="shared" si="132"/>
        <v>0</v>
      </c>
      <c r="AA185" s="70">
        <f t="shared" si="133"/>
        <v>0</v>
      </c>
      <c r="AB185" s="70">
        <f t="shared" si="134"/>
        <v>0</v>
      </c>
      <c r="AC185" s="70">
        <f t="shared" si="135"/>
        <v>0</v>
      </c>
      <c r="AD185" s="70">
        <f t="shared" si="136"/>
        <v>0</v>
      </c>
      <c r="AE185" s="70">
        <f t="shared" si="137"/>
        <v>0</v>
      </c>
      <c r="AF185" s="70">
        <f t="shared" si="138"/>
        <v>0</v>
      </c>
      <c r="AG185" s="70">
        <f t="shared" si="139"/>
        <v>0</v>
      </c>
      <c r="AH185"/>
      <c r="AI185"/>
      <c r="AJ185"/>
      <c r="AK185"/>
    </row>
    <row r="186" spans="1:37" ht="15.6" customHeight="1" x14ac:dyDescent="0.25">
      <c r="A186" s="210"/>
      <c r="B186" s="290" t="s">
        <v>507</v>
      </c>
      <c r="C186" s="585"/>
      <c r="D186" s="586"/>
      <c r="E186" s="289"/>
      <c r="F186" s="746"/>
      <c r="G186" s="746"/>
      <c r="H186" s="746"/>
      <c r="I186" s="746"/>
      <c r="J186" s="294"/>
      <c r="K186" s="294"/>
      <c r="L186" s="292"/>
      <c r="M186" s="293"/>
      <c r="N186" s="206"/>
      <c r="O186" s="70">
        <f t="shared" si="127"/>
        <v>0</v>
      </c>
      <c r="P186" s="70">
        <f t="shared" si="128"/>
        <v>0</v>
      </c>
      <c r="Q186" s="70">
        <f t="shared" si="114"/>
        <v>0</v>
      </c>
      <c r="R186" s="70">
        <f t="shared" si="129"/>
        <v>0</v>
      </c>
      <c r="S186"/>
      <c r="V186" s="70" t="str">
        <f t="shared" si="115"/>
        <v>Podnik 5.</v>
      </c>
      <c r="W186" s="217">
        <f t="shared" si="116"/>
        <v>0</v>
      </c>
      <c r="X186" s="70">
        <f t="shared" si="130"/>
        <v>0</v>
      </c>
      <c r="Y186" s="70">
        <f t="shared" si="131"/>
        <v>0</v>
      </c>
      <c r="Z186" s="70">
        <f t="shared" si="132"/>
        <v>0</v>
      </c>
      <c r="AA186" s="70">
        <f t="shared" si="133"/>
        <v>0</v>
      </c>
      <c r="AB186" s="70">
        <f t="shared" si="134"/>
        <v>0</v>
      </c>
      <c r="AC186" s="70">
        <f t="shared" si="135"/>
        <v>0</v>
      </c>
      <c r="AD186" s="70">
        <f t="shared" si="136"/>
        <v>0</v>
      </c>
      <c r="AE186" s="70">
        <f t="shared" si="137"/>
        <v>0</v>
      </c>
      <c r="AF186" s="70">
        <f t="shared" si="138"/>
        <v>0</v>
      </c>
      <c r="AG186" s="70">
        <f t="shared" si="139"/>
        <v>0</v>
      </c>
      <c r="AH186"/>
      <c r="AI186"/>
      <c r="AJ186"/>
      <c r="AK186"/>
    </row>
    <row r="187" spans="1:37" ht="15.6" customHeight="1" x14ac:dyDescent="0.25">
      <c r="A187" s="210"/>
      <c r="B187" s="290" t="s">
        <v>508</v>
      </c>
      <c r="C187" s="585"/>
      <c r="D187" s="586"/>
      <c r="E187" s="289"/>
      <c r="F187" s="746"/>
      <c r="G187" s="746"/>
      <c r="H187" s="746"/>
      <c r="I187" s="746"/>
      <c r="J187" s="294"/>
      <c r="K187" s="294"/>
      <c r="L187" s="292"/>
      <c r="M187" s="293"/>
      <c r="N187" s="206"/>
      <c r="O187" s="70">
        <f t="shared" si="127"/>
        <v>0</v>
      </c>
      <c r="P187" s="70">
        <f t="shared" si="128"/>
        <v>0</v>
      </c>
      <c r="Q187" s="70">
        <f t="shared" si="114"/>
        <v>0</v>
      </c>
      <c r="R187" s="70">
        <f t="shared" si="129"/>
        <v>0</v>
      </c>
      <c r="S187"/>
      <c r="V187" s="70" t="str">
        <f t="shared" si="115"/>
        <v>Podnik 6.</v>
      </c>
      <c r="W187" s="217">
        <f t="shared" si="116"/>
        <v>0</v>
      </c>
      <c r="X187" s="70">
        <f t="shared" si="130"/>
        <v>0</v>
      </c>
      <c r="Y187" s="70">
        <f t="shared" si="131"/>
        <v>0</v>
      </c>
      <c r="Z187" s="70">
        <f t="shared" si="132"/>
        <v>0</v>
      </c>
      <c r="AA187" s="70">
        <f t="shared" si="133"/>
        <v>0</v>
      </c>
      <c r="AB187" s="70">
        <f t="shared" si="134"/>
        <v>0</v>
      </c>
      <c r="AC187" s="70">
        <f t="shared" si="135"/>
        <v>0</v>
      </c>
      <c r="AD187" s="70">
        <f t="shared" si="136"/>
        <v>0</v>
      </c>
      <c r="AE187" s="70">
        <f t="shared" si="137"/>
        <v>0</v>
      </c>
      <c r="AF187" s="70">
        <f t="shared" si="138"/>
        <v>0</v>
      </c>
      <c r="AG187" s="70">
        <f t="shared" si="139"/>
        <v>0</v>
      </c>
      <c r="AH187"/>
      <c r="AI187"/>
      <c r="AJ187"/>
      <c r="AK187"/>
    </row>
    <row r="188" spans="1:37" ht="15.6" customHeight="1" x14ac:dyDescent="0.25">
      <c r="A188" s="210"/>
      <c r="B188" s="290" t="s">
        <v>509</v>
      </c>
      <c r="C188" s="585"/>
      <c r="D188" s="586"/>
      <c r="E188" s="289"/>
      <c r="F188" s="746"/>
      <c r="G188" s="746"/>
      <c r="H188" s="746"/>
      <c r="I188" s="746"/>
      <c r="J188" s="294"/>
      <c r="K188" s="294"/>
      <c r="L188" s="292"/>
      <c r="M188" s="293"/>
      <c r="N188" s="206"/>
      <c r="O188" s="70">
        <f t="shared" si="127"/>
        <v>0</v>
      </c>
      <c r="P188" s="70">
        <f t="shared" si="128"/>
        <v>0</v>
      </c>
      <c r="Q188" s="70">
        <f t="shared" si="114"/>
        <v>0</v>
      </c>
      <c r="R188" s="70">
        <f t="shared" si="129"/>
        <v>0</v>
      </c>
      <c r="S188"/>
      <c r="V188" s="70" t="str">
        <f t="shared" si="115"/>
        <v>Podnik 7.</v>
      </c>
      <c r="W188" s="217">
        <f t="shared" si="116"/>
        <v>0</v>
      </c>
      <c r="X188" s="70">
        <f t="shared" si="130"/>
        <v>0</v>
      </c>
      <c r="Y188" s="70">
        <f t="shared" si="131"/>
        <v>0</v>
      </c>
      <c r="Z188" s="70">
        <f t="shared" si="132"/>
        <v>0</v>
      </c>
      <c r="AA188" s="70">
        <f t="shared" si="133"/>
        <v>0</v>
      </c>
      <c r="AB188" s="70">
        <f t="shared" si="134"/>
        <v>0</v>
      </c>
      <c r="AC188" s="70">
        <f t="shared" si="135"/>
        <v>0</v>
      </c>
      <c r="AD188" s="70">
        <f t="shared" si="136"/>
        <v>0</v>
      </c>
      <c r="AE188" s="70">
        <f t="shared" si="137"/>
        <v>0</v>
      </c>
      <c r="AF188" s="70">
        <f t="shared" si="138"/>
        <v>0</v>
      </c>
      <c r="AG188" s="70">
        <f t="shared" si="139"/>
        <v>0</v>
      </c>
      <c r="AH188"/>
      <c r="AI188"/>
      <c r="AJ188"/>
      <c r="AK188"/>
    </row>
    <row r="189" spans="1:37" ht="15.6" customHeight="1" x14ac:dyDescent="0.25">
      <c r="A189" s="210"/>
      <c r="B189" s="290" t="s">
        <v>510</v>
      </c>
      <c r="C189" s="585"/>
      <c r="D189" s="586"/>
      <c r="E189" s="289"/>
      <c r="F189" s="746"/>
      <c r="G189" s="746"/>
      <c r="H189" s="746"/>
      <c r="I189" s="746"/>
      <c r="J189" s="294"/>
      <c r="K189" s="294"/>
      <c r="L189" s="292"/>
      <c r="M189" s="293"/>
      <c r="N189" s="206"/>
      <c r="O189" s="70">
        <f t="shared" si="127"/>
        <v>0</v>
      </c>
      <c r="P189" s="70">
        <f t="shared" si="128"/>
        <v>0</v>
      </c>
      <c r="Q189" s="70">
        <f t="shared" si="114"/>
        <v>0</v>
      </c>
      <c r="R189" s="70">
        <f t="shared" si="129"/>
        <v>0</v>
      </c>
      <c r="S189"/>
      <c r="V189" s="70" t="str">
        <f t="shared" si="115"/>
        <v>Podnik 8.</v>
      </c>
      <c r="W189" s="217">
        <f t="shared" si="116"/>
        <v>0</v>
      </c>
      <c r="X189" s="70">
        <f t="shared" si="130"/>
        <v>0</v>
      </c>
      <c r="Y189" s="70">
        <f t="shared" si="131"/>
        <v>0</v>
      </c>
      <c r="Z189" s="70">
        <f t="shared" si="132"/>
        <v>0</v>
      </c>
      <c r="AA189" s="70">
        <f t="shared" si="133"/>
        <v>0</v>
      </c>
      <c r="AB189" s="70">
        <f t="shared" si="134"/>
        <v>0</v>
      </c>
      <c r="AC189" s="70">
        <f t="shared" si="135"/>
        <v>0</v>
      </c>
      <c r="AD189" s="70">
        <f t="shared" si="136"/>
        <v>0</v>
      </c>
      <c r="AE189" s="70">
        <f t="shared" si="137"/>
        <v>0</v>
      </c>
      <c r="AF189" s="70">
        <f t="shared" si="138"/>
        <v>0</v>
      </c>
      <c r="AG189" s="70">
        <f t="shared" si="139"/>
        <v>0</v>
      </c>
      <c r="AH189"/>
      <c r="AI189"/>
      <c r="AJ189"/>
      <c r="AK189"/>
    </row>
    <row r="190" spans="1:37" ht="15.6" customHeight="1" x14ac:dyDescent="0.25">
      <c r="A190" s="210"/>
      <c r="B190" s="290" t="s">
        <v>511</v>
      </c>
      <c r="C190" s="585"/>
      <c r="D190" s="586"/>
      <c r="E190" s="289"/>
      <c r="F190" s="746"/>
      <c r="G190" s="746"/>
      <c r="H190" s="746"/>
      <c r="I190" s="746"/>
      <c r="J190" s="294"/>
      <c r="K190" s="294"/>
      <c r="L190" s="292"/>
      <c r="M190" s="293"/>
      <c r="N190" s="206"/>
      <c r="O190" s="70">
        <f t="shared" si="127"/>
        <v>0</v>
      </c>
      <c r="P190" s="70">
        <f t="shared" si="128"/>
        <v>0</v>
      </c>
      <c r="Q190" s="70">
        <f t="shared" si="114"/>
        <v>0</v>
      </c>
      <c r="R190" s="70">
        <f t="shared" si="129"/>
        <v>0</v>
      </c>
      <c r="S190"/>
      <c r="V190" s="70" t="str">
        <f t="shared" si="115"/>
        <v>Podnik 9.</v>
      </c>
      <c r="W190" s="217">
        <f t="shared" si="116"/>
        <v>0</v>
      </c>
      <c r="X190" s="70">
        <f t="shared" si="130"/>
        <v>0</v>
      </c>
      <c r="Y190" s="70">
        <f t="shared" si="131"/>
        <v>0</v>
      </c>
      <c r="Z190" s="70">
        <f t="shared" si="132"/>
        <v>0</v>
      </c>
      <c r="AA190" s="70">
        <f t="shared" si="133"/>
        <v>0</v>
      </c>
      <c r="AB190" s="70">
        <f t="shared" si="134"/>
        <v>0</v>
      </c>
      <c r="AC190" s="70">
        <f t="shared" si="135"/>
        <v>0</v>
      </c>
      <c r="AD190" s="70">
        <f t="shared" si="136"/>
        <v>0</v>
      </c>
      <c r="AE190" s="70">
        <f t="shared" si="137"/>
        <v>0</v>
      </c>
      <c r="AF190" s="70">
        <f t="shared" si="138"/>
        <v>0</v>
      </c>
      <c r="AG190" s="70">
        <f t="shared" si="139"/>
        <v>0</v>
      </c>
      <c r="AH190"/>
      <c r="AI190"/>
      <c r="AJ190"/>
      <c r="AK190"/>
    </row>
    <row r="191" spans="1:37" ht="15.6" customHeight="1" x14ac:dyDescent="0.25">
      <c r="A191" s="210"/>
      <c r="B191" s="290" t="s">
        <v>512</v>
      </c>
      <c r="C191" s="585"/>
      <c r="D191" s="586"/>
      <c r="E191" s="289"/>
      <c r="F191" s="746"/>
      <c r="G191" s="746"/>
      <c r="H191" s="746"/>
      <c r="I191" s="746"/>
      <c r="J191" s="294"/>
      <c r="K191" s="294"/>
      <c r="L191" s="292"/>
      <c r="M191" s="293"/>
      <c r="N191" s="206"/>
      <c r="O191" s="70">
        <f t="shared" si="127"/>
        <v>0</v>
      </c>
      <c r="P191" s="70">
        <f t="shared" si="128"/>
        <v>0</v>
      </c>
      <c r="Q191" s="70">
        <f t="shared" si="114"/>
        <v>0</v>
      </c>
      <c r="R191" s="70">
        <f t="shared" si="129"/>
        <v>0</v>
      </c>
      <c r="S191"/>
      <c r="V191" s="70" t="str">
        <f t="shared" si="115"/>
        <v>Podnik 10.</v>
      </c>
      <c r="W191" s="217">
        <f t="shared" si="116"/>
        <v>0</v>
      </c>
      <c r="X191" s="70">
        <f t="shared" si="130"/>
        <v>0</v>
      </c>
      <c r="Y191" s="70">
        <f t="shared" si="131"/>
        <v>0</v>
      </c>
      <c r="Z191" s="70">
        <f t="shared" si="132"/>
        <v>0</v>
      </c>
      <c r="AA191" s="70">
        <f t="shared" si="133"/>
        <v>0</v>
      </c>
      <c r="AB191" s="70">
        <f t="shared" si="134"/>
        <v>0</v>
      </c>
      <c r="AC191" s="70">
        <f t="shared" si="135"/>
        <v>0</v>
      </c>
      <c r="AD191" s="70">
        <f t="shared" si="136"/>
        <v>0</v>
      </c>
      <c r="AE191" s="70">
        <f t="shared" si="137"/>
        <v>0</v>
      </c>
      <c r="AF191" s="70">
        <f t="shared" si="138"/>
        <v>0</v>
      </c>
      <c r="AG191" s="70">
        <f t="shared" si="139"/>
        <v>0</v>
      </c>
      <c r="AH191"/>
      <c r="AI191"/>
      <c r="AJ191"/>
      <c r="AK191"/>
    </row>
    <row r="192" spans="1:37" ht="15.6" customHeight="1" x14ac:dyDescent="0.25">
      <c r="A192" s="210"/>
      <c r="B192" s="290" t="s">
        <v>517</v>
      </c>
      <c r="C192" s="585"/>
      <c r="D192" s="586"/>
      <c r="E192" s="289"/>
      <c r="F192" s="746"/>
      <c r="G192" s="746"/>
      <c r="H192" s="746"/>
      <c r="I192" s="746"/>
      <c r="J192" s="294"/>
      <c r="K192" s="294"/>
      <c r="L192" s="292"/>
      <c r="M192" s="293"/>
      <c r="N192" s="206"/>
      <c r="O192" s="70">
        <f t="shared" si="127"/>
        <v>0</v>
      </c>
      <c r="P192" s="70">
        <f t="shared" si="128"/>
        <v>0</v>
      </c>
      <c r="Q192" s="70">
        <f t="shared" si="114"/>
        <v>0</v>
      </c>
      <c r="R192" s="70">
        <f t="shared" si="129"/>
        <v>0</v>
      </c>
      <c r="S192"/>
      <c r="V192" s="70" t="str">
        <f t="shared" si="115"/>
        <v>Podnik 11.</v>
      </c>
      <c r="W192" s="217">
        <f t="shared" si="116"/>
        <v>0</v>
      </c>
      <c r="X192" s="70">
        <f t="shared" si="130"/>
        <v>0</v>
      </c>
      <c r="Y192" s="70">
        <f t="shared" si="131"/>
        <v>0</v>
      </c>
      <c r="Z192" s="70">
        <f t="shared" si="132"/>
        <v>0</v>
      </c>
      <c r="AA192" s="70">
        <f t="shared" si="133"/>
        <v>0</v>
      </c>
      <c r="AB192" s="70">
        <f t="shared" si="134"/>
        <v>0</v>
      </c>
      <c r="AC192" s="70">
        <f t="shared" si="135"/>
        <v>0</v>
      </c>
      <c r="AD192" s="70">
        <f t="shared" si="136"/>
        <v>0</v>
      </c>
      <c r="AE192" s="70">
        <f t="shared" si="137"/>
        <v>0</v>
      </c>
      <c r="AF192" s="70">
        <f t="shared" si="138"/>
        <v>0</v>
      </c>
      <c r="AG192" s="70">
        <f t="shared" si="139"/>
        <v>0</v>
      </c>
      <c r="AH192"/>
      <c r="AI192"/>
      <c r="AJ192"/>
      <c r="AK192"/>
    </row>
    <row r="193" spans="1:37" ht="15.6" customHeight="1" x14ac:dyDescent="0.25">
      <c r="A193" s="210"/>
      <c r="B193" s="290" t="s">
        <v>519</v>
      </c>
      <c r="C193" s="585"/>
      <c r="D193" s="586"/>
      <c r="E193" s="289"/>
      <c r="F193" s="746"/>
      <c r="G193" s="746"/>
      <c r="H193" s="746"/>
      <c r="I193" s="746"/>
      <c r="J193" s="294"/>
      <c r="K193" s="294"/>
      <c r="L193" s="292"/>
      <c r="M193" s="293"/>
      <c r="N193" s="206"/>
      <c r="O193" s="70">
        <f t="shared" si="127"/>
        <v>0</v>
      </c>
      <c r="P193" s="70">
        <f t="shared" si="128"/>
        <v>0</v>
      </c>
      <c r="Q193" s="70">
        <f t="shared" si="114"/>
        <v>0</v>
      </c>
      <c r="R193" s="70">
        <f t="shared" si="129"/>
        <v>0</v>
      </c>
      <c r="S193"/>
      <c r="V193" s="70" t="str">
        <f t="shared" si="115"/>
        <v>Podnik 12.</v>
      </c>
      <c r="W193" s="217">
        <f t="shared" si="116"/>
        <v>0</v>
      </c>
      <c r="X193" s="70">
        <f t="shared" si="130"/>
        <v>0</v>
      </c>
      <c r="Y193" s="70">
        <f t="shared" si="131"/>
        <v>0</v>
      </c>
      <c r="Z193" s="70">
        <f t="shared" si="132"/>
        <v>0</v>
      </c>
      <c r="AA193" s="70">
        <f t="shared" si="133"/>
        <v>0</v>
      </c>
      <c r="AB193" s="70">
        <f t="shared" si="134"/>
        <v>0</v>
      </c>
      <c r="AC193" s="70">
        <f t="shared" si="135"/>
        <v>0</v>
      </c>
      <c r="AD193" s="70">
        <f t="shared" si="136"/>
        <v>0</v>
      </c>
      <c r="AE193" s="70">
        <f t="shared" si="137"/>
        <v>0</v>
      </c>
      <c r="AF193" s="70">
        <f t="shared" si="138"/>
        <v>0</v>
      </c>
      <c r="AG193" s="70">
        <f t="shared" si="139"/>
        <v>0</v>
      </c>
      <c r="AH193"/>
      <c r="AI193"/>
      <c r="AJ193"/>
      <c r="AK193"/>
    </row>
    <row r="194" spans="1:37" ht="15.6" customHeight="1" x14ac:dyDescent="0.25">
      <c r="A194" s="210"/>
      <c r="B194" s="290" t="s">
        <v>518</v>
      </c>
      <c r="C194" s="585"/>
      <c r="D194" s="586"/>
      <c r="E194" s="289"/>
      <c r="F194" s="746"/>
      <c r="G194" s="746"/>
      <c r="H194" s="746"/>
      <c r="I194" s="746"/>
      <c r="J194" s="294"/>
      <c r="K194" s="294"/>
      <c r="L194" s="292"/>
      <c r="M194" s="293"/>
      <c r="N194" s="206"/>
      <c r="O194" s="70">
        <f t="shared" si="127"/>
        <v>0</v>
      </c>
      <c r="P194" s="70">
        <f t="shared" si="128"/>
        <v>0</v>
      </c>
      <c r="Q194" s="70">
        <f t="shared" si="114"/>
        <v>0</v>
      </c>
      <c r="R194" s="70">
        <f t="shared" si="129"/>
        <v>0</v>
      </c>
      <c r="S194"/>
      <c r="V194" s="70" t="str">
        <f t="shared" si="115"/>
        <v>Podnik 13.</v>
      </c>
      <c r="W194" s="217">
        <f t="shared" si="116"/>
        <v>0</v>
      </c>
      <c r="X194" s="70">
        <f t="shared" si="130"/>
        <v>0</v>
      </c>
      <c r="Y194" s="70">
        <f t="shared" si="131"/>
        <v>0</v>
      </c>
      <c r="Z194" s="70">
        <f t="shared" si="132"/>
        <v>0</v>
      </c>
      <c r="AA194" s="70">
        <f t="shared" si="133"/>
        <v>0</v>
      </c>
      <c r="AB194" s="70">
        <f t="shared" si="134"/>
        <v>0</v>
      </c>
      <c r="AC194" s="70">
        <f t="shared" si="135"/>
        <v>0</v>
      </c>
      <c r="AD194" s="70">
        <f t="shared" si="136"/>
        <v>0</v>
      </c>
      <c r="AE194" s="70">
        <f t="shared" si="137"/>
        <v>0</v>
      </c>
      <c r="AF194" s="70">
        <f t="shared" si="138"/>
        <v>0</v>
      </c>
      <c r="AG194" s="70">
        <f t="shared" si="139"/>
        <v>0</v>
      </c>
      <c r="AH194"/>
      <c r="AI194"/>
      <c r="AJ194"/>
      <c r="AK194"/>
    </row>
    <row r="195" spans="1:37" ht="15.6" customHeight="1" x14ac:dyDescent="0.25">
      <c r="A195" s="210"/>
      <c r="B195" s="290" t="s">
        <v>520</v>
      </c>
      <c r="C195" s="585"/>
      <c r="D195" s="586"/>
      <c r="E195" s="289"/>
      <c r="F195" s="746"/>
      <c r="G195" s="746"/>
      <c r="H195" s="746"/>
      <c r="I195" s="746"/>
      <c r="J195" s="294"/>
      <c r="K195" s="294"/>
      <c r="L195" s="292"/>
      <c r="M195" s="293"/>
      <c r="N195" s="206"/>
      <c r="O195" s="70">
        <f t="shared" si="127"/>
        <v>0</v>
      </c>
      <c r="P195" s="70">
        <f t="shared" si="128"/>
        <v>0</v>
      </c>
      <c r="Q195" s="70">
        <f t="shared" si="114"/>
        <v>0</v>
      </c>
      <c r="R195" s="70">
        <f t="shared" si="129"/>
        <v>0</v>
      </c>
      <c r="S195"/>
      <c r="V195" s="70" t="str">
        <f t="shared" si="115"/>
        <v>Podnik 14.</v>
      </c>
      <c r="W195" s="217">
        <f t="shared" si="116"/>
        <v>0</v>
      </c>
      <c r="X195" s="70">
        <f t="shared" si="130"/>
        <v>0</v>
      </c>
      <c r="Y195" s="70">
        <f t="shared" si="131"/>
        <v>0</v>
      </c>
      <c r="Z195" s="70">
        <f t="shared" si="132"/>
        <v>0</v>
      </c>
      <c r="AA195" s="70">
        <f t="shared" si="133"/>
        <v>0</v>
      </c>
      <c r="AB195" s="70">
        <f t="shared" si="134"/>
        <v>0</v>
      </c>
      <c r="AC195" s="70">
        <f t="shared" si="135"/>
        <v>0</v>
      </c>
      <c r="AD195" s="70">
        <f t="shared" si="136"/>
        <v>0</v>
      </c>
      <c r="AE195" s="70">
        <f t="shared" si="137"/>
        <v>0</v>
      </c>
      <c r="AF195" s="70">
        <f t="shared" si="138"/>
        <v>0</v>
      </c>
      <c r="AG195" s="70">
        <f t="shared" si="139"/>
        <v>0</v>
      </c>
      <c r="AH195"/>
      <c r="AI195"/>
      <c r="AJ195"/>
      <c r="AK195"/>
    </row>
    <row r="196" spans="1:37" ht="15.6" customHeight="1" x14ac:dyDescent="0.25">
      <c r="A196" s="210"/>
      <c r="B196" s="290" t="s">
        <v>521</v>
      </c>
      <c r="C196" s="585"/>
      <c r="D196" s="586"/>
      <c r="E196" s="289"/>
      <c r="F196" s="746"/>
      <c r="G196" s="746"/>
      <c r="H196" s="746"/>
      <c r="I196" s="746"/>
      <c r="J196" s="294"/>
      <c r="K196" s="294"/>
      <c r="L196" s="292"/>
      <c r="M196" s="293"/>
      <c r="N196" s="206"/>
      <c r="O196" s="70">
        <f t="shared" si="127"/>
        <v>0</v>
      </c>
      <c r="P196" s="70">
        <f t="shared" si="128"/>
        <v>0</v>
      </c>
      <c r="Q196" s="70">
        <f t="shared" si="114"/>
        <v>0</v>
      </c>
      <c r="R196" s="70">
        <f t="shared" si="129"/>
        <v>0</v>
      </c>
      <c r="S196"/>
      <c r="V196" s="70" t="str">
        <f t="shared" si="115"/>
        <v>Podnik 15.</v>
      </c>
      <c r="W196" s="217">
        <f t="shared" si="116"/>
        <v>0</v>
      </c>
      <c r="X196" s="70">
        <f t="shared" si="130"/>
        <v>0</v>
      </c>
      <c r="Y196" s="70">
        <f t="shared" si="131"/>
        <v>0</v>
      </c>
      <c r="Z196" s="70">
        <f t="shared" si="132"/>
        <v>0</v>
      </c>
      <c r="AA196" s="70">
        <f t="shared" si="133"/>
        <v>0</v>
      </c>
      <c r="AB196" s="70">
        <f t="shared" si="134"/>
        <v>0</v>
      </c>
      <c r="AC196" s="70">
        <f t="shared" si="135"/>
        <v>0</v>
      </c>
      <c r="AD196" s="70">
        <f t="shared" si="136"/>
        <v>0</v>
      </c>
      <c r="AE196" s="70">
        <f t="shared" si="137"/>
        <v>0</v>
      </c>
      <c r="AF196" s="70">
        <f t="shared" si="138"/>
        <v>0</v>
      </c>
      <c r="AG196" s="70">
        <f t="shared" si="139"/>
        <v>0</v>
      </c>
      <c r="AH196"/>
      <c r="AI196"/>
      <c r="AJ196"/>
      <c r="AK196"/>
    </row>
    <row r="197" spans="1:37" ht="15.6" customHeight="1" x14ac:dyDescent="0.25">
      <c r="A197" s="210"/>
      <c r="B197" s="290" t="s">
        <v>522</v>
      </c>
      <c r="C197" s="585"/>
      <c r="D197" s="586"/>
      <c r="E197" s="291"/>
      <c r="F197" s="746"/>
      <c r="G197" s="746"/>
      <c r="H197" s="746"/>
      <c r="I197" s="746"/>
      <c r="J197" s="295"/>
      <c r="K197" s="295"/>
      <c r="L197" s="296"/>
      <c r="M197" s="297"/>
      <c r="N197" s="206"/>
      <c r="O197" s="70">
        <f t="shared" si="127"/>
        <v>0</v>
      </c>
      <c r="P197" s="70">
        <f t="shared" si="128"/>
        <v>0</v>
      </c>
      <c r="Q197" s="70">
        <f t="shared" si="114"/>
        <v>0</v>
      </c>
      <c r="R197" s="70">
        <f t="shared" si="129"/>
        <v>0</v>
      </c>
      <c r="V197" s="70" t="str">
        <f t="shared" si="115"/>
        <v>Podnik 16.</v>
      </c>
      <c r="W197" s="217">
        <f t="shared" si="116"/>
        <v>0</v>
      </c>
      <c r="X197" s="70">
        <f t="shared" si="130"/>
        <v>0</v>
      </c>
      <c r="Y197" s="70">
        <f t="shared" si="131"/>
        <v>0</v>
      </c>
      <c r="Z197" s="70">
        <f t="shared" si="132"/>
        <v>0</v>
      </c>
      <c r="AA197" s="70">
        <f t="shared" si="133"/>
        <v>0</v>
      </c>
      <c r="AB197" s="70">
        <f t="shared" si="134"/>
        <v>0</v>
      </c>
      <c r="AC197" s="70">
        <f t="shared" si="135"/>
        <v>0</v>
      </c>
      <c r="AD197" s="70">
        <f t="shared" si="136"/>
        <v>0</v>
      </c>
      <c r="AE197" s="70">
        <f t="shared" si="137"/>
        <v>0</v>
      </c>
      <c r="AF197" s="70">
        <f t="shared" si="138"/>
        <v>0</v>
      </c>
      <c r="AG197" s="70">
        <f t="shared" si="139"/>
        <v>0</v>
      </c>
      <c r="AH197"/>
      <c r="AI197"/>
      <c r="AJ197"/>
      <c r="AK197"/>
    </row>
    <row r="198" spans="1:37" ht="15.6" customHeight="1" x14ac:dyDescent="0.25">
      <c r="A198" s="210"/>
      <c r="B198" s="383" t="s">
        <v>523</v>
      </c>
      <c r="C198" s="585"/>
      <c r="D198" s="586"/>
      <c r="E198" s="291"/>
      <c r="F198" s="747"/>
      <c r="G198" s="747"/>
      <c r="H198" s="747"/>
      <c r="I198" s="747"/>
      <c r="J198" s="286"/>
      <c r="K198" s="286"/>
      <c r="L198" s="381"/>
      <c r="M198" s="387"/>
      <c r="N198" s="206"/>
      <c r="O198" s="70">
        <f>IF(OR(E198&lt;&gt;0,J198&lt;&gt;0,K198&lt;&gt;0,L198&lt;&gt;0,M198&lt;&gt;0),1,0)</f>
        <v>0</v>
      </c>
      <c r="P198" s="70">
        <f>IF(AND(C198="",O198=1),1,0)</f>
        <v>0</v>
      </c>
      <c r="Q198" s="70">
        <f t="shared" ref="Q198:Q211" si="140">IF(C198=$T$28,1,0)</f>
        <v>0</v>
      </c>
      <c r="R198" s="70">
        <f>IF(C198=$T$30,1,0)</f>
        <v>0</v>
      </c>
      <c r="V198" s="70" t="str">
        <f t="shared" si="115"/>
        <v>Podnik 17.</v>
      </c>
      <c r="W198" s="217">
        <f t="shared" ref="W198:W211" si="141">IF(C198="",0,IF(C198=$T$28,0,1))</f>
        <v>0</v>
      </c>
      <c r="X198" s="70">
        <f t="shared" si="130"/>
        <v>0</v>
      </c>
      <c r="Y198" s="70">
        <f t="shared" si="131"/>
        <v>0</v>
      </c>
      <c r="Z198" s="70">
        <f t="shared" si="132"/>
        <v>0</v>
      </c>
      <c r="AA198" s="70">
        <f t="shared" si="133"/>
        <v>0</v>
      </c>
      <c r="AB198" s="70">
        <f t="shared" si="134"/>
        <v>0</v>
      </c>
      <c r="AC198" s="70">
        <f t="shared" si="135"/>
        <v>0</v>
      </c>
      <c r="AD198" s="70">
        <f t="shared" si="136"/>
        <v>0</v>
      </c>
      <c r="AE198" s="70">
        <f t="shared" si="137"/>
        <v>0</v>
      </c>
      <c r="AF198" s="70">
        <f t="shared" si="138"/>
        <v>0</v>
      </c>
      <c r="AG198" s="70">
        <f t="shared" si="139"/>
        <v>0</v>
      </c>
      <c r="AH198"/>
      <c r="AI198"/>
      <c r="AJ198"/>
      <c r="AK198"/>
    </row>
    <row r="199" spans="1:37" ht="15.6" customHeight="1" x14ac:dyDescent="0.25">
      <c r="A199" s="210"/>
      <c r="B199" s="383" t="s">
        <v>524</v>
      </c>
      <c r="C199" s="585"/>
      <c r="D199" s="586"/>
      <c r="E199" s="291"/>
      <c r="F199" s="747"/>
      <c r="G199" s="747"/>
      <c r="H199" s="747"/>
      <c r="I199" s="747"/>
      <c r="J199" s="286"/>
      <c r="K199" s="286"/>
      <c r="L199" s="381"/>
      <c r="M199" s="387"/>
      <c r="N199" s="206"/>
      <c r="O199" s="70">
        <f t="shared" ref="O199:O211" si="142">IF(OR(E199&lt;&gt;0,J199&lt;&gt;0,K199&lt;&gt;0,L199&lt;&gt;0,M199&lt;&gt;0),1,0)</f>
        <v>0</v>
      </c>
      <c r="P199" s="70">
        <f t="shared" ref="P199:P211" si="143">IF(AND(C199="",O199=1),1,0)</f>
        <v>0</v>
      </c>
      <c r="Q199" s="70">
        <f t="shared" si="140"/>
        <v>0</v>
      </c>
      <c r="R199" s="70">
        <f t="shared" ref="R199:R211" si="144">IF(C199=$T$30,1,0)</f>
        <v>0</v>
      </c>
      <c r="V199" s="70" t="str">
        <f t="shared" si="115"/>
        <v>Podnik 18.</v>
      </c>
      <c r="W199" s="217">
        <f t="shared" si="141"/>
        <v>0</v>
      </c>
      <c r="X199" s="70">
        <f t="shared" ref="X199:X211" si="145">IF(C199=$T$28,E199,0)</f>
        <v>0</v>
      </c>
      <c r="Y199" s="70">
        <f t="shared" ref="Y199:Y211" si="146">IF(C199=$T$30,E199,0)</f>
        <v>0</v>
      </c>
      <c r="Z199" s="70">
        <f t="shared" ref="Z199:Z211" si="147">IF(C199=$T$28,J199,0)</f>
        <v>0</v>
      </c>
      <c r="AA199" s="70">
        <f t="shared" ref="AA199:AA211" si="148">IF(C199=$T$30,J199,0)</f>
        <v>0</v>
      </c>
      <c r="AB199" s="70">
        <f t="shared" ref="AB199:AB211" si="149">IF(C199=$T$28,K199,0)</f>
        <v>0</v>
      </c>
      <c r="AC199" s="70">
        <f t="shared" ref="AC199:AC211" si="150">IF(C199=$T$30,K199,0)</f>
        <v>0</v>
      </c>
      <c r="AD199" s="70">
        <f t="shared" ref="AD199:AD211" si="151">IF(C199=$T$28,L199,0)</f>
        <v>0</v>
      </c>
      <c r="AE199" s="70">
        <f t="shared" ref="AE199:AE211" si="152">IF(C199=$T$30,L199,0)</f>
        <v>0</v>
      </c>
      <c r="AF199" s="70">
        <f t="shared" ref="AF199:AF211" si="153">IF(C199=$T$28,M199,0)</f>
        <v>0</v>
      </c>
      <c r="AG199" s="70">
        <f t="shared" ref="AG199:AG211" si="154">IF(C199=$T$30,M199,0)</f>
        <v>0</v>
      </c>
      <c r="AH199"/>
      <c r="AI199"/>
      <c r="AJ199"/>
      <c r="AK199"/>
    </row>
    <row r="200" spans="1:37" ht="15.6" customHeight="1" x14ac:dyDescent="0.25">
      <c r="A200" s="210"/>
      <c r="B200" s="383" t="s">
        <v>525</v>
      </c>
      <c r="C200" s="585"/>
      <c r="D200" s="586"/>
      <c r="E200" s="291"/>
      <c r="F200" s="747"/>
      <c r="G200" s="747"/>
      <c r="H200" s="747"/>
      <c r="I200" s="747"/>
      <c r="J200" s="286"/>
      <c r="K200" s="286"/>
      <c r="L200" s="381"/>
      <c r="M200" s="387"/>
      <c r="N200" s="206"/>
      <c r="O200" s="70">
        <f t="shared" si="142"/>
        <v>0</v>
      </c>
      <c r="P200" s="70">
        <f t="shared" si="143"/>
        <v>0</v>
      </c>
      <c r="Q200" s="70">
        <f t="shared" si="140"/>
        <v>0</v>
      </c>
      <c r="R200" s="70">
        <f t="shared" si="144"/>
        <v>0</v>
      </c>
      <c r="V200" s="70" t="str">
        <f t="shared" si="115"/>
        <v>Podnik 19.</v>
      </c>
      <c r="W200" s="217">
        <f t="shared" si="141"/>
        <v>0</v>
      </c>
      <c r="X200" s="70">
        <f t="shared" si="145"/>
        <v>0</v>
      </c>
      <c r="Y200" s="70">
        <f t="shared" si="146"/>
        <v>0</v>
      </c>
      <c r="Z200" s="70">
        <f t="shared" si="147"/>
        <v>0</v>
      </c>
      <c r="AA200" s="70">
        <f t="shared" si="148"/>
        <v>0</v>
      </c>
      <c r="AB200" s="70">
        <f t="shared" si="149"/>
        <v>0</v>
      </c>
      <c r="AC200" s="70">
        <f t="shared" si="150"/>
        <v>0</v>
      </c>
      <c r="AD200" s="70">
        <f t="shared" si="151"/>
        <v>0</v>
      </c>
      <c r="AE200" s="70">
        <f t="shared" si="152"/>
        <v>0</v>
      </c>
      <c r="AF200" s="70">
        <f t="shared" si="153"/>
        <v>0</v>
      </c>
      <c r="AG200" s="70">
        <f t="shared" si="154"/>
        <v>0</v>
      </c>
      <c r="AH200"/>
      <c r="AI200"/>
      <c r="AJ200"/>
      <c r="AK200"/>
    </row>
    <row r="201" spans="1:37" ht="15.6" customHeight="1" x14ac:dyDescent="0.25">
      <c r="A201" s="210"/>
      <c r="B201" s="383" t="s">
        <v>526</v>
      </c>
      <c r="C201" s="585"/>
      <c r="D201" s="586"/>
      <c r="E201" s="291"/>
      <c r="F201" s="747"/>
      <c r="G201" s="747"/>
      <c r="H201" s="747"/>
      <c r="I201" s="747"/>
      <c r="J201" s="286"/>
      <c r="K201" s="286"/>
      <c r="L201" s="381"/>
      <c r="M201" s="387"/>
      <c r="N201" s="206"/>
      <c r="O201" s="70">
        <f t="shared" si="142"/>
        <v>0</v>
      </c>
      <c r="P201" s="70">
        <f t="shared" si="143"/>
        <v>0</v>
      </c>
      <c r="Q201" s="70">
        <f t="shared" si="140"/>
        <v>0</v>
      </c>
      <c r="R201" s="70">
        <f t="shared" si="144"/>
        <v>0</v>
      </c>
      <c r="V201" s="70" t="str">
        <f t="shared" si="115"/>
        <v>Podnik 20.</v>
      </c>
      <c r="W201" s="217">
        <f t="shared" si="141"/>
        <v>0</v>
      </c>
      <c r="X201" s="70">
        <f t="shared" si="145"/>
        <v>0</v>
      </c>
      <c r="Y201" s="70">
        <f t="shared" si="146"/>
        <v>0</v>
      </c>
      <c r="Z201" s="70">
        <f t="shared" si="147"/>
        <v>0</v>
      </c>
      <c r="AA201" s="70">
        <f t="shared" si="148"/>
        <v>0</v>
      </c>
      <c r="AB201" s="70">
        <f t="shared" si="149"/>
        <v>0</v>
      </c>
      <c r="AC201" s="70">
        <f t="shared" si="150"/>
        <v>0</v>
      </c>
      <c r="AD201" s="70">
        <f t="shared" si="151"/>
        <v>0</v>
      </c>
      <c r="AE201" s="70">
        <f t="shared" si="152"/>
        <v>0</v>
      </c>
      <c r="AF201" s="70">
        <f t="shared" si="153"/>
        <v>0</v>
      </c>
      <c r="AG201" s="70">
        <f t="shared" si="154"/>
        <v>0</v>
      </c>
      <c r="AH201"/>
      <c r="AI201"/>
      <c r="AJ201"/>
      <c r="AK201"/>
    </row>
    <row r="202" spans="1:37" ht="15.6" hidden="1" customHeight="1" x14ac:dyDescent="0.25">
      <c r="A202" s="210"/>
      <c r="B202" s="383" t="s">
        <v>527</v>
      </c>
      <c r="C202" s="585"/>
      <c r="D202" s="586"/>
      <c r="E202" s="291"/>
      <c r="F202" s="747"/>
      <c r="G202" s="747"/>
      <c r="H202" s="747"/>
      <c r="I202" s="747"/>
      <c r="J202" s="286"/>
      <c r="K202" s="286"/>
      <c r="L202" s="381"/>
      <c r="M202" s="387"/>
      <c r="N202" s="206"/>
      <c r="O202" s="70">
        <f t="shared" si="142"/>
        <v>0</v>
      </c>
      <c r="P202" s="70">
        <f t="shared" si="143"/>
        <v>0</v>
      </c>
      <c r="Q202" s="70">
        <f t="shared" si="140"/>
        <v>0</v>
      </c>
      <c r="R202" s="70">
        <f t="shared" si="144"/>
        <v>0</v>
      </c>
      <c r="V202" s="70" t="str">
        <f t="shared" si="115"/>
        <v>Podnik 21.</v>
      </c>
      <c r="W202" s="217">
        <f t="shared" si="141"/>
        <v>0</v>
      </c>
      <c r="X202" s="70">
        <f t="shared" si="145"/>
        <v>0</v>
      </c>
      <c r="Y202" s="70">
        <f t="shared" si="146"/>
        <v>0</v>
      </c>
      <c r="Z202" s="70">
        <f t="shared" si="147"/>
        <v>0</v>
      </c>
      <c r="AA202" s="70">
        <f t="shared" si="148"/>
        <v>0</v>
      </c>
      <c r="AB202" s="70">
        <f t="shared" si="149"/>
        <v>0</v>
      </c>
      <c r="AC202" s="70">
        <f t="shared" si="150"/>
        <v>0</v>
      </c>
      <c r="AD202" s="70">
        <f t="shared" si="151"/>
        <v>0</v>
      </c>
      <c r="AE202" s="70">
        <f t="shared" si="152"/>
        <v>0</v>
      </c>
      <c r="AF202" s="70">
        <f t="shared" si="153"/>
        <v>0</v>
      </c>
      <c r="AG202" s="70">
        <f t="shared" si="154"/>
        <v>0</v>
      </c>
      <c r="AH202"/>
      <c r="AI202"/>
      <c r="AJ202"/>
      <c r="AK202"/>
    </row>
    <row r="203" spans="1:37" ht="15.6" hidden="1" customHeight="1" x14ac:dyDescent="0.25">
      <c r="A203" s="210"/>
      <c r="B203" s="383" t="s">
        <v>528</v>
      </c>
      <c r="C203" s="585"/>
      <c r="D203" s="586"/>
      <c r="E203" s="291"/>
      <c r="F203" s="747"/>
      <c r="G203" s="747"/>
      <c r="H203" s="747"/>
      <c r="I203" s="747"/>
      <c r="J203" s="286"/>
      <c r="K203" s="286"/>
      <c r="L203" s="381"/>
      <c r="M203" s="387"/>
      <c r="N203" s="206"/>
      <c r="O203" s="70">
        <f t="shared" si="142"/>
        <v>0</v>
      </c>
      <c r="P203" s="70">
        <f t="shared" si="143"/>
        <v>0</v>
      </c>
      <c r="Q203" s="70">
        <f t="shared" si="140"/>
        <v>0</v>
      </c>
      <c r="R203" s="70">
        <f t="shared" si="144"/>
        <v>0</v>
      </c>
      <c r="V203" s="70" t="str">
        <f t="shared" si="115"/>
        <v>Podnik 22.</v>
      </c>
      <c r="W203" s="217">
        <f t="shared" si="141"/>
        <v>0</v>
      </c>
      <c r="X203" s="70">
        <f t="shared" si="145"/>
        <v>0</v>
      </c>
      <c r="Y203" s="70">
        <f t="shared" si="146"/>
        <v>0</v>
      </c>
      <c r="Z203" s="70">
        <f t="shared" si="147"/>
        <v>0</v>
      </c>
      <c r="AA203" s="70">
        <f t="shared" si="148"/>
        <v>0</v>
      </c>
      <c r="AB203" s="70">
        <f t="shared" si="149"/>
        <v>0</v>
      </c>
      <c r="AC203" s="70">
        <f t="shared" si="150"/>
        <v>0</v>
      </c>
      <c r="AD203" s="70">
        <f t="shared" si="151"/>
        <v>0</v>
      </c>
      <c r="AE203" s="70">
        <f t="shared" si="152"/>
        <v>0</v>
      </c>
      <c r="AF203" s="70">
        <f t="shared" si="153"/>
        <v>0</v>
      </c>
      <c r="AG203" s="70">
        <f t="shared" si="154"/>
        <v>0</v>
      </c>
      <c r="AH203"/>
      <c r="AI203"/>
      <c r="AJ203"/>
      <c r="AK203"/>
    </row>
    <row r="204" spans="1:37" ht="15.6" hidden="1" customHeight="1" x14ac:dyDescent="0.25">
      <c r="A204" s="210"/>
      <c r="B204" s="383" t="s">
        <v>529</v>
      </c>
      <c r="C204" s="585"/>
      <c r="D204" s="586"/>
      <c r="E204" s="291"/>
      <c r="F204" s="747"/>
      <c r="G204" s="747"/>
      <c r="H204" s="747"/>
      <c r="I204" s="747"/>
      <c r="J204" s="286"/>
      <c r="K204" s="286"/>
      <c r="L204" s="381"/>
      <c r="M204" s="387"/>
      <c r="N204" s="206"/>
      <c r="O204" s="70">
        <f t="shared" si="142"/>
        <v>0</v>
      </c>
      <c r="P204" s="70">
        <f t="shared" si="143"/>
        <v>0</v>
      </c>
      <c r="Q204" s="70">
        <f t="shared" si="140"/>
        <v>0</v>
      </c>
      <c r="R204" s="70">
        <f t="shared" si="144"/>
        <v>0</v>
      </c>
      <c r="V204" s="70" t="str">
        <f t="shared" si="115"/>
        <v>Podnik 23.</v>
      </c>
      <c r="W204" s="217">
        <f t="shared" si="141"/>
        <v>0</v>
      </c>
      <c r="X204" s="70">
        <f t="shared" si="145"/>
        <v>0</v>
      </c>
      <c r="Y204" s="70">
        <f t="shared" si="146"/>
        <v>0</v>
      </c>
      <c r="Z204" s="70">
        <f t="shared" si="147"/>
        <v>0</v>
      </c>
      <c r="AA204" s="70">
        <f t="shared" si="148"/>
        <v>0</v>
      </c>
      <c r="AB204" s="70">
        <f t="shared" si="149"/>
        <v>0</v>
      </c>
      <c r="AC204" s="70">
        <f t="shared" si="150"/>
        <v>0</v>
      </c>
      <c r="AD204" s="70">
        <f t="shared" si="151"/>
        <v>0</v>
      </c>
      <c r="AE204" s="70">
        <f t="shared" si="152"/>
        <v>0</v>
      </c>
      <c r="AF204" s="70">
        <f t="shared" si="153"/>
        <v>0</v>
      </c>
      <c r="AG204" s="70">
        <f t="shared" si="154"/>
        <v>0</v>
      </c>
      <c r="AH204"/>
      <c r="AI204"/>
      <c r="AJ204"/>
      <c r="AK204"/>
    </row>
    <row r="205" spans="1:37" ht="15.6" hidden="1" customHeight="1" x14ac:dyDescent="0.25">
      <c r="A205" s="210"/>
      <c r="B205" s="383" t="s">
        <v>530</v>
      </c>
      <c r="C205" s="585"/>
      <c r="D205" s="586"/>
      <c r="E205" s="291"/>
      <c r="F205" s="747"/>
      <c r="G205" s="747"/>
      <c r="H205" s="747"/>
      <c r="I205" s="747"/>
      <c r="J205" s="286"/>
      <c r="K205" s="286"/>
      <c r="L205" s="381"/>
      <c r="M205" s="387"/>
      <c r="N205" s="206"/>
      <c r="O205" s="70">
        <f t="shared" si="142"/>
        <v>0</v>
      </c>
      <c r="P205" s="70">
        <f t="shared" si="143"/>
        <v>0</v>
      </c>
      <c r="Q205" s="70">
        <f t="shared" si="140"/>
        <v>0</v>
      </c>
      <c r="R205" s="70">
        <f t="shared" si="144"/>
        <v>0</v>
      </c>
      <c r="V205" s="70" t="str">
        <f t="shared" si="115"/>
        <v>Podnik 24.</v>
      </c>
      <c r="W205" s="217">
        <f t="shared" si="141"/>
        <v>0</v>
      </c>
      <c r="X205" s="70">
        <f t="shared" si="145"/>
        <v>0</v>
      </c>
      <c r="Y205" s="70">
        <f t="shared" si="146"/>
        <v>0</v>
      </c>
      <c r="Z205" s="70">
        <f t="shared" si="147"/>
        <v>0</v>
      </c>
      <c r="AA205" s="70">
        <f t="shared" si="148"/>
        <v>0</v>
      </c>
      <c r="AB205" s="70">
        <f t="shared" si="149"/>
        <v>0</v>
      </c>
      <c r="AC205" s="70">
        <f t="shared" si="150"/>
        <v>0</v>
      </c>
      <c r="AD205" s="70">
        <f t="shared" si="151"/>
        <v>0</v>
      </c>
      <c r="AE205" s="70">
        <f t="shared" si="152"/>
        <v>0</v>
      </c>
      <c r="AF205" s="70">
        <f t="shared" si="153"/>
        <v>0</v>
      </c>
      <c r="AG205" s="70">
        <f t="shared" si="154"/>
        <v>0</v>
      </c>
      <c r="AH205"/>
      <c r="AI205"/>
      <c r="AJ205"/>
      <c r="AK205"/>
    </row>
    <row r="206" spans="1:37" ht="15.6" hidden="1" customHeight="1" x14ac:dyDescent="0.25">
      <c r="A206" s="210"/>
      <c r="B206" s="383" t="s">
        <v>531</v>
      </c>
      <c r="C206" s="585"/>
      <c r="D206" s="586"/>
      <c r="E206" s="291"/>
      <c r="F206" s="747"/>
      <c r="G206" s="747"/>
      <c r="H206" s="747"/>
      <c r="I206" s="747"/>
      <c r="J206" s="286"/>
      <c r="K206" s="286"/>
      <c r="L206" s="381"/>
      <c r="M206" s="387"/>
      <c r="N206" s="206"/>
      <c r="O206" s="70">
        <f t="shared" si="142"/>
        <v>0</v>
      </c>
      <c r="P206" s="70">
        <f t="shared" si="143"/>
        <v>0</v>
      </c>
      <c r="Q206" s="70">
        <f t="shared" si="140"/>
        <v>0</v>
      </c>
      <c r="R206" s="70">
        <f t="shared" si="144"/>
        <v>0</v>
      </c>
      <c r="V206" s="70" t="str">
        <f t="shared" si="115"/>
        <v>Podnik 25.</v>
      </c>
      <c r="W206" s="217">
        <f t="shared" si="141"/>
        <v>0</v>
      </c>
      <c r="X206" s="70">
        <f t="shared" si="145"/>
        <v>0</v>
      </c>
      <c r="Y206" s="70">
        <f t="shared" si="146"/>
        <v>0</v>
      </c>
      <c r="Z206" s="70">
        <f t="shared" si="147"/>
        <v>0</v>
      </c>
      <c r="AA206" s="70">
        <f t="shared" si="148"/>
        <v>0</v>
      </c>
      <c r="AB206" s="70">
        <f t="shared" si="149"/>
        <v>0</v>
      </c>
      <c r="AC206" s="70">
        <f t="shared" si="150"/>
        <v>0</v>
      </c>
      <c r="AD206" s="70">
        <f t="shared" si="151"/>
        <v>0</v>
      </c>
      <c r="AE206" s="70">
        <f t="shared" si="152"/>
        <v>0</v>
      </c>
      <c r="AF206" s="70">
        <f t="shared" si="153"/>
        <v>0</v>
      </c>
      <c r="AG206" s="70">
        <f t="shared" si="154"/>
        <v>0</v>
      </c>
      <c r="AH206"/>
      <c r="AI206"/>
      <c r="AJ206"/>
      <c r="AK206"/>
    </row>
    <row r="207" spans="1:37" ht="15.6" hidden="1" customHeight="1" x14ac:dyDescent="0.25">
      <c r="A207" s="210"/>
      <c r="B207" s="383" t="s">
        <v>532</v>
      </c>
      <c r="C207" s="585"/>
      <c r="D207" s="586"/>
      <c r="E207" s="291"/>
      <c r="F207" s="747"/>
      <c r="G207" s="747"/>
      <c r="H207" s="747"/>
      <c r="I207" s="747"/>
      <c r="J207" s="286"/>
      <c r="K207" s="286"/>
      <c r="L207" s="381"/>
      <c r="M207" s="387"/>
      <c r="N207" s="206"/>
      <c r="O207" s="70">
        <f t="shared" si="142"/>
        <v>0</v>
      </c>
      <c r="P207" s="70">
        <f t="shared" si="143"/>
        <v>0</v>
      </c>
      <c r="Q207" s="70">
        <f t="shared" si="140"/>
        <v>0</v>
      </c>
      <c r="R207" s="70">
        <f t="shared" si="144"/>
        <v>0</v>
      </c>
      <c r="V207" s="70" t="str">
        <f t="shared" si="115"/>
        <v>Podnik 26.</v>
      </c>
      <c r="W207" s="217">
        <f t="shared" si="141"/>
        <v>0</v>
      </c>
      <c r="X207" s="70">
        <f t="shared" si="145"/>
        <v>0</v>
      </c>
      <c r="Y207" s="70">
        <f t="shared" si="146"/>
        <v>0</v>
      </c>
      <c r="Z207" s="70">
        <f t="shared" si="147"/>
        <v>0</v>
      </c>
      <c r="AA207" s="70">
        <f t="shared" si="148"/>
        <v>0</v>
      </c>
      <c r="AB207" s="70">
        <f t="shared" si="149"/>
        <v>0</v>
      </c>
      <c r="AC207" s="70">
        <f t="shared" si="150"/>
        <v>0</v>
      </c>
      <c r="AD207" s="70">
        <f t="shared" si="151"/>
        <v>0</v>
      </c>
      <c r="AE207" s="70">
        <f t="shared" si="152"/>
        <v>0</v>
      </c>
      <c r="AF207" s="70">
        <f t="shared" si="153"/>
        <v>0</v>
      </c>
      <c r="AG207" s="70">
        <f t="shared" si="154"/>
        <v>0</v>
      </c>
      <c r="AH207"/>
      <c r="AI207"/>
      <c r="AJ207"/>
      <c r="AK207"/>
    </row>
    <row r="208" spans="1:37" ht="15.6" hidden="1" customHeight="1" x14ac:dyDescent="0.25">
      <c r="A208" s="210"/>
      <c r="B208" s="383" t="s">
        <v>533</v>
      </c>
      <c r="C208" s="585"/>
      <c r="D208" s="586"/>
      <c r="E208" s="291"/>
      <c r="F208" s="747"/>
      <c r="G208" s="747"/>
      <c r="H208" s="747"/>
      <c r="I208" s="747"/>
      <c r="J208" s="286"/>
      <c r="K208" s="286"/>
      <c r="L208" s="381"/>
      <c r="M208" s="387"/>
      <c r="N208" s="206"/>
      <c r="O208" s="70">
        <f t="shared" si="142"/>
        <v>0</v>
      </c>
      <c r="P208" s="70">
        <f t="shared" si="143"/>
        <v>0</v>
      </c>
      <c r="Q208" s="70">
        <f t="shared" si="140"/>
        <v>0</v>
      </c>
      <c r="R208" s="70">
        <f t="shared" si="144"/>
        <v>0</v>
      </c>
      <c r="V208" s="70" t="str">
        <f t="shared" si="115"/>
        <v>Podnik 27.</v>
      </c>
      <c r="W208" s="217">
        <f t="shared" si="141"/>
        <v>0</v>
      </c>
      <c r="X208" s="70">
        <f t="shared" si="145"/>
        <v>0</v>
      </c>
      <c r="Y208" s="70">
        <f t="shared" si="146"/>
        <v>0</v>
      </c>
      <c r="Z208" s="70">
        <f t="shared" si="147"/>
        <v>0</v>
      </c>
      <c r="AA208" s="70">
        <f t="shared" si="148"/>
        <v>0</v>
      </c>
      <c r="AB208" s="70">
        <f t="shared" si="149"/>
        <v>0</v>
      </c>
      <c r="AC208" s="70">
        <f t="shared" si="150"/>
        <v>0</v>
      </c>
      <c r="AD208" s="70">
        <f t="shared" si="151"/>
        <v>0</v>
      </c>
      <c r="AE208" s="70">
        <f t="shared" si="152"/>
        <v>0</v>
      </c>
      <c r="AF208" s="70">
        <f t="shared" si="153"/>
        <v>0</v>
      </c>
      <c r="AG208" s="70">
        <f t="shared" si="154"/>
        <v>0</v>
      </c>
      <c r="AH208"/>
      <c r="AI208"/>
      <c r="AJ208"/>
      <c r="AK208"/>
    </row>
    <row r="209" spans="1:37" ht="15.6" hidden="1" customHeight="1" x14ac:dyDescent="0.25">
      <c r="A209" s="210"/>
      <c r="B209" s="383" t="s">
        <v>534</v>
      </c>
      <c r="C209" s="585"/>
      <c r="D209" s="586"/>
      <c r="E209" s="291"/>
      <c r="F209" s="747"/>
      <c r="G209" s="747"/>
      <c r="H209" s="747"/>
      <c r="I209" s="747"/>
      <c r="J209" s="286"/>
      <c r="K209" s="286"/>
      <c r="L209" s="381"/>
      <c r="M209" s="387"/>
      <c r="N209" s="206"/>
      <c r="O209" s="70">
        <f t="shared" si="142"/>
        <v>0</v>
      </c>
      <c r="P209" s="70">
        <f t="shared" si="143"/>
        <v>0</v>
      </c>
      <c r="Q209" s="70">
        <f t="shared" si="140"/>
        <v>0</v>
      </c>
      <c r="R209" s="70">
        <f t="shared" si="144"/>
        <v>0</v>
      </c>
      <c r="V209" s="70" t="str">
        <f t="shared" si="115"/>
        <v>Podnik 28.</v>
      </c>
      <c r="W209" s="217">
        <f t="shared" si="141"/>
        <v>0</v>
      </c>
      <c r="X209" s="70">
        <f t="shared" si="145"/>
        <v>0</v>
      </c>
      <c r="Y209" s="70">
        <f t="shared" si="146"/>
        <v>0</v>
      </c>
      <c r="Z209" s="70">
        <f t="shared" si="147"/>
        <v>0</v>
      </c>
      <c r="AA209" s="70">
        <f t="shared" si="148"/>
        <v>0</v>
      </c>
      <c r="AB209" s="70">
        <f t="shared" si="149"/>
        <v>0</v>
      </c>
      <c r="AC209" s="70">
        <f t="shared" si="150"/>
        <v>0</v>
      </c>
      <c r="AD209" s="70">
        <f t="shared" si="151"/>
        <v>0</v>
      </c>
      <c r="AE209" s="70">
        <f t="shared" si="152"/>
        <v>0</v>
      </c>
      <c r="AF209" s="70">
        <f t="shared" si="153"/>
        <v>0</v>
      </c>
      <c r="AG209" s="70">
        <f t="shared" si="154"/>
        <v>0</v>
      </c>
      <c r="AH209"/>
      <c r="AI209"/>
      <c r="AJ209"/>
      <c r="AK209"/>
    </row>
    <row r="210" spans="1:37" ht="15.6" hidden="1" customHeight="1" x14ac:dyDescent="0.25">
      <c r="A210" s="210"/>
      <c r="B210" s="383" t="s">
        <v>535</v>
      </c>
      <c r="C210" s="585"/>
      <c r="D210" s="586"/>
      <c r="E210" s="291"/>
      <c r="F210" s="747"/>
      <c r="G210" s="747"/>
      <c r="H210" s="747"/>
      <c r="I210" s="747"/>
      <c r="J210" s="286"/>
      <c r="K210" s="286"/>
      <c r="L210" s="381"/>
      <c r="M210" s="387"/>
      <c r="N210" s="206"/>
      <c r="O210" s="70">
        <f t="shared" si="142"/>
        <v>0</v>
      </c>
      <c r="P210" s="70">
        <f t="shared" si="143"/>
        <v>0</v>
      </c>
      <c r="Q210" s="70">
        <f t="shared" si="140"/>
        <v>0</v>
      </c>
      <c r="R210" s="70">
        <f t="shared" si="144"/>
        <v>0</v>
      </c>
      <c r="V210" s="70" t="str">
        <f t="shared" si="115"/>
        <v>Podnik 29.</v>
      </c>
      <c r="W210" s="217">
        <f t="shared" si="141"/>
        <v>0</v>
      </c>
      <c r="X210" s="70">
        <f t="shared" si="145"/>
        <v>0</v>
      </c>
      <c r="Y210" s="70">
        <f t="shared" si="146"/>
        <v>0</v>
      </c>
      <c r="Z210" s="70">
        <f t="shared" si="147"/>
        <v>0</v>
      </c>
      <c r="AA210" s="70">
        <f t="shared" si="148"/>
        <v>0</v>
      </c>
      <c r="AB210" s="70">
        <f t="shared" si="149"/>
        <v>0</v>
      </c>
      <c r="AC210" s="70">
        <f t="shared" si="150"/>
        <v>0</v>
      </c>
      <c r="AD210" s="70">
        <f t="shared" si="151"/>
        <v>0</v>
      </c>
      <c r="AE210" s="70">
        <f t="shared" si="152"/>
        <v>0</v>
      </c>
      <c r="AF210" s="70">
        <f t="shared" si="153"/>
        <v>0</v>
      </c>
      <c r="AG210" s="70">
        <f t="shared" si="154"/>
        <v>0</v>
      </c>
      <c r="AH210"/>
      <c r="AI210"/>
      <c r="AJ210"/>
      <c r="AK210"/>
    </row>
    <row r="211" spans="1:37" ht="15.6" hidden="1" customHeight="1" x14ac:dyDescent="0.25">
      <c r="A211" s="210"/>
      <c r="B211" s="383" t="s">
        <v>536</v>
      </c>
      <c r="C211" s="585"/>
      <c r="D211" s="586"/>
      <c r="E211" s="291"/>
      <c r="F211" s="747"/>
      <c r="G211" s="747"/>
      <c r="H211" s="747"/>
      <c r="I211" s="747"/>
      <c r="J211" s="286"/>
      <c r="K211" s="286"/>
      <c r="L211" s="381"/>
      <c r="M211" s="387"/>
      <c r="N211" s="206"/>
      <c r="O211" s="70">
        <f t="shared" si="142"/>
        <v>0</v>
      </c>
      <c r="P211" s="70">
        <f t="shared" si="143"/>
        <v>0</v>
      </c>
      <c r="Q211" s="70">
        <f t="shared" si="140"/>
        <v>0</v>
      </c>
      <c r="R211" s="70">
        <f t="shared" si="144"/>
        <v>0</v>
      </c>
      <c r="V211" s="70" t="str">
        <f t="shared" si="115"/>
        <v>Podnik 30.</v>
      </c>
      <c r="W211" s="217">
        <f t="shared" si="141"/>
        <v>0</v>
      </c>
      <c r="X211" s="70">
        <f t="shared" si="145"/>
        <v>0</v>
      </c>
      <c r="Y211" s="70">
        <f t="shared" si="146"/>
        <v>0</v>
      </c>
      <c r="Z211" s="70">
        <f t="shared" si="147"/>
        <v>0</v>
      </c>
      <c r="AA211" s="70">
        <f t="shared" si="148"/>
        <v>0</v>
      </c>
      <c r="AB211" s="70">
        <f t="shared" si="149"/>
        <v>0</v>
      </c>
      <c r="AC211" s="70">
        <f t="shared" si="150"/>
        <v>0</v>
      </c>
      <c r="AD211" s="70">
        <f t="shared" si="151"/>
        <v>0</v>
      </c>
      <c r="AE211" s="70">
        <f t="shared" si="152"/>
        <v>0</v>
      </c>
      <c r="AF211" s="70">
        <f t="shared" si="153"/>
        <v>0</v>
      </c>
      <c r="AG211" s="70">
        <f t="shared" si="154"/>
        <v>0</v>
      </c>
      <c r="AH211"/>
      <c r="AI211"/>
      <c r="AJ211"/>
      <c r="AK211"/>
    </row>
    <row r="212" spans="1:37" ht="15.6" customHeight="1" thickBot="1" x14ac:dyDescent="0.3">
      <c r="A212" s="210"/>
      <c r="B212" s="722" t="s">
        <v>73</v>
      </c>
      <c r="C212" s="723"/>
      <c r="D212" s="724"/>
      <c r="E212" s="189">
        <f>SUM(E182:E211)</f>
        <v>0</v>
      </c>
      <c r="F212" s="748"/>
      <c r="G212" s="748"/>
      <c r="H212" s="748"/>
      <c r="I212" s="748"/>
      <c r="J212" s="202">
        <f>SUM(J182:J211)</f>
        <v>0</v>
      </c>
      <c r="K212" s="190">
        <f>SUM(K182:K211)</f>
        <v>0</v>
      </c>
      <c r="L212" s="190">
        <f>SUM(L182:L211)</f>
        <v>0</v>
      </c>
      <c r="M212" s="191">
        <f>SUM(M182:M211)</f>
        <v>0</v>
      </c>
      <c r="N212" s="206"/>
      <c r="P212" s="218">
        <f>SUM(P182:P211)</f>
        <v>0</v>
      </c>
      <c r="Q212" s="219">
        <f>IF(OR(Q182=1,Q184=1,Q186=1,Q188=1,Q190=1,Q192=1,Q194=1,Q195=1,Q196=1,Q197=1,Q108=1,Q110=1,Q112=1,Q114=1,Q116=1,Q118=1,Q120=1,Q121=1,Q122=1,Q123=1,Q34=1,Q36=1,Q38=1,Q40=1,Q42=1,Q44=1,Q46=1,Q47=1,Q48=1,Q49=1,Q35=1,Q37=1,Q39=1,Q41=1,Q43=1,Q45=1,Q109=1,Q111=1,Q113=1,Q115=1,Q117=1,Q119=1,Q183=1,Q185=1,Q187=1,Q189=1,Q191=1,Q193=1,Q50=1,Q51=1,Q52=1,Q53=1,Q54=1,Q55=1,Q56=1,Q57=1,Q58=1,Q59=1,Q60=1,Q61=1,Q62=1,Q63=1,Q124=1,Q125=1,Q126=1,Q127=1,Q128=1,Q129=1,Q130=1,Q131=1,Q132=1,Q133=1,Q134=1,Q135=1,Q136=1,Q137=1,Q198=1,Q199=1,Q200=1,Q201=1,Q202=1,Q203=1,Q204=1,Q205=1,Q206=1,Q207=1,Q208=1,Q209=1,Q210=1,Q211=1),1,0)</f>
        <v>0</v>
      </c>
      <c r="R212" s="220">
        <f>IF(OR(R182=1,R184=1,R186=1,R188=1,R190=1,R192=1,R194=1,R195=1,R196=1,R197=1,R108=1,R110=1,R112=1,R113=1,R116=1,R118=1,R120=1,R121=1,R122=1,R123=1,R34=1,R36=1,R38=1,R40=1,R42=1,R44=1,R46=1,R47=1,R48=1,R49=1,R109=1,R111=1,R35=1,R37=1,R39=1,R41=1,R43=1,R45=1,R114=1,R115=1,R117=1,R119=1,R183=1,R185=1,R187=1,R189=1,R191=1,R193=1,R50=1,R51=1,R52=1,R53=1,R54=1,R55=1,R56=1,R57=1,R58=1,R59=1,R60=1,R61=1,R62=1,R63=1,R124=1,R125=1,R126=1,R127=1,R128=1,R129=1,R130=1,R131=1,R132=1,R133=1,R134=1,R135=1,R136=1,R137=1,R198=1,R199=1,R200=1,R201=1,R202=1,R203=1,R204=1,R205=1,R206=1,R207=1,R208=1,R209=1,R210=1,R211=1),1,0)</f>
        <v>0</v>
      </c>
      <c r="S212" s="221">
        <f>Q212+R212</f>
        <v>0</v>
      </c>
      <c r="V212"/>
      <c r="W212"/>
      <c r="X212"/>
      <c r="Y212"/>
      <c r="Z212"/>
      <c r="AA212"/>
      <c r="AB212"/>
      <c r="AC212"/>
      <c r="AD212"/>
      <c r="AE212"/>
      <c r="AF212"/>
      <c r="AG212"/>
      <c r="AH212"/>
      <c r="AI212"/>
      <c r="AJ212"/>
      <c r="AK212"/>
    </row>
    <row r="213" spans="1:37" ht="16.5" thickBot="1" x14ac:dyDescent="0.3">
      <c r="A213" s="210"/>
      <c r="B213" s="222"/>
      <c r="C213" s="582" t="str">
        <f>IF(P212&gt;0,"Ve výše uvedené tabulce je nutné vybrat rok!","")</f>
        <v/>
      </c>
      <c r="D213" s="582"/>
      <c r="E213" s="582"/>
      <c r="F213" s="582"/>
      <c r="G213" s="582"/>
      <c r="H213" s="208"/>
      <c r="I213" s="208"/>
      <c r="J213" s="208"/>
      <c r="K213" s="208"/>
      <c r="L213" s="223"/>
      <c r="M213" s="223"/>
      <c r="N213" s="206"/>
      <c r="S213" s="173" t="s">
        <v>476</v>
      </c>
      <c r="V213"/>
      <c r="W213"/>
      <c r="X213"/>
      <c r="Y213"/>
      <c r="Z213"/>
      <c r="AA213"/>
      <c r="AB213"/>
      <c r="AC213"/>
      <c r="AD213"/>
      <c r="AE213"/>
      <c r="AF213"/>
      <c r="AG213"/>
      <c r="AH213"/>
      <c r="AI213"/>
      <c r="AJ213"/>
      <c r="AK213"/>
    </row>
    <row r="214" spans="1:37" ht="20.25" customHeight="1" x14ac:dyDescent="0.25">
      <c r="A214" s="210"/>
      <c r="B214" s="597" t="str">
        <f>IF($E$12="ANO","NEVYPLŇUJE SE. (Tuto tabulku vyplňuje pouze VELKÝ podnikatel.)","Obchodní jméno podniku")</f>
        <v>Obchodní jméno podniku</v>
      </c>
      <c r="C214" s="591" t="s">
        <v>403</v>
      </c>
      <c r="D214" s="592"/>
      <c r="E214" s="583" t="s">
        <v>86</v>
      </c>
      <c r="F214" s="584"/>
      <c r="G214" s="584"/>
      <c r="H214" s="584"/>
      <c r="I214" s="584"/>
      <c r="J214" s="721"/>
      <c r="K214" s="715" t="s">
        <v>87</v>
      </c>
      <c r="L214" s="716"/>
      <c r="M214" s="717"/>
      <c r="N214" s="206"/>
      <c r="S214"/>
      <c r="T214" s="155"/>
      <c r="V214"/>
      <c r="X214"/>
      <c r="Y214"/>
      <c r="Z214"/>
      <c r="AA214"/>
      <c r="AB214"/>
      <c r="AC214"/>
      <c r="AD214"/>
      <c r="AE214"/>
      <c r="AF214"/>
      <c r="AG214"/>
      <c r="AH214"/>
      <c r="AI214"/>
      <c r="AJ214"/>
      <c r="AK214"/>
    </row>
    <row r="215" spans="1:37" ht="55.5" customHeight="1" x14ac:dyDescent="0.25">
      <c r="A215" s="210"/>
      <c r="B215" s="598"/>
      <c r="C215" s="593"/>
      <c r="D215" s="594"/>
      <c r="E215" s="212" t="s">
        <v>15</v>
      </c>
      <c r="F215" s="213" t="s">
        <v>30</v>
      </c>
      <c r="G215" s="213" t="s">
        <v>72</v>
      </c>
      <c r="H215" s="213" t="s">
        <v>83</v>
      </c>
      <c r="I215" s="213" t="s">
        <v>81</v>
      </c>
      <c r="J215" s="213" t="s">
        <v>99</v>
      </c>
      <c r="K215" s="214" t="s">
        <v>23</v>
      </c>
      <c r="L215" s="214" t="s">
        <v>25</v>
      </c>
      <c r="M215" s="215" t="s">
        <v>82</v>
      </c>
      <c r="N215" s="206"/>
      <c r="S215" s="164"/>
      <c r="T215" s="224" t="s">
        <v>453</v>
      </c>
      <c r="U215" s="152" t="s">
        <v>452</v>
      </c>
      <c r="V215"/>
      <c r="X215"/>
      <c r="Y215"/>
      <c r="Z215"/>
      <c r="AA215"/>
      <c r="AB215"/>
      <c r="AC215"/>
      <c r="AD215"/>
      <c r="AE215"/>
      <c r="AF215"/>
      <c r="AG215"/>
      <c r="AH215"/>
      <c r="AI215"/>
      <c r="AJ215"/>
      <c r="AK215"/>
    </row>
    <row r="216" spans="1:37" ht="18.75" customHeight="1" thickBot="1" x14ac:dyDescent="0.3">
      <c r="A216" s="210"/>
      <c r="B216" s="599"/>
      <c r="C216" s="595"/>
      <c r="D216" s="596"/>
      <c r="E216" s="718" t="str">
        <f>E181</f>
        <v>Uveďte údaje z konsolidované účetní závěrky, je-li k dispozici.</v>
      </c>
      <c r="F216" s="719"/>
      <c r="G216" s="719"/>
      <c r="H216" s="719"/>
      <c r="I216" s="719"/>
      <c r="J216" s="719"/>
      <c r="K216" s="719"/>
      <c r="L216" s="719"/>
      <c r="M216" s="720"/>
      <c r="N216" s="206"/>
      <c r="S216" s="164"/>
      <c r="T216" s="225" t="str">
        <f>IF(T161="Chyba v části I.","",T161)</f>
        <v/>
      </c>
      <c r="U216" s="153" t="str">
        <f>T215&amp;T216&amp;T217</f>
        <v xml:space="preserve">Výhradně rok </v>
      </c>
    </row>
    <row r="217" spans="1:37" ht="15.6" customHeight="1" x14ac:dyDescent="0.25">
      <c r="A217" s="210"/>
      <c r="B217" s="388" t="str">
        <f>IF(B182="Podnik 1.","Vyplní se automaticky",IF(B182="","",B182))</f>
        <v>Vyplní se automaticky</v>
      </c>
      <c r="C217" s="778" t="str">
        <f>IF(C182&gt;20,C182-1,"Vyplní se automaticky")</f>
        <v>Vyplní se automaticky</v>
      </c>
      <c r="D217" s="779"/>
      <c r="E217" s="384"/>
      <c r="F217" s="744" t="s">
        <v>84</v>
      </c>
      <c r="G217" s="744"/>
      <c r="H217" s="744"/>
      <c r="I217" s="744"/>
      <c r="J217" s="389"/>
      <c r="K217" s="389"/>
      <c r="L217" s="385"/>
      <c r="M217" s="386"/>
      <c r="N217" s="206"/>
      <c r="S217" s="164"/>
      <c r="Y217" s="185">
        <f t="shared" ref="Y217" si="155">IF(C217=$T$30,E217,0)</f>
        <v>0</v>
      </c>
      <c r="AA217" s="185">
        <f t="shared" ref="AA217" si="156">IF(C217=$T$30,J217,0)</f>
        <v>0</v>
      </c>
      <c r="AC217" s="185">
        <f t="shared" ref="AC217" si="157">IF(C217=$T$30,K217,0)</f>
        <v>0</v>
      </c>
      <c r="AE217" s="185">
        <f t="shared" ref="AE217" si="158">IF(C217=$T$30,L217,0)</f>
        <v>0</v>
      </c>
      <c r="AG217" s="185">
        <f t="shared" ref="AG217" si="159">IF(C217=$T$30,M217,0)</f>
        <v>0</v>
      </c>
    </row>
    <row r="218" spans="1:37" ht="15.6" customHeight="1" x14ac:dyDescent="0.25">
      <c r="A218" s="210"/>
      <c r="B218" s="226" t="str">
        <f>IF(OR(B183="Podnik 2.",B183=""),"",B183)</f>
        <v/>
      </c>
      <c r="C218" s="619" t="str">
        <f>IF(C183&gt;20,C183-1,"")</f>
        <v/>
      </c>
      <c r="D218" s="620"/>
      <c r="E218" s="289"/>
      <c r="F218" s="745"/>
      <c r="G218" s="745"/>
      <c r="H218" s="745"/>
      <c r="I218" s="745"/>
      <c r="J218" s="294"/>
      <c r="K218" s="294"/>
      <c r="L218" s="292"/>
      <c r="M218" s="293"/>
      <c r="N218" s="206"/>
      <c r="S218" s="164"/>
      <c r="Y218" s="185">
        <f t="shared" ref="Y218:Y233" si="160">IF(C218=$T$30,E218,0)</f>
        <v>0</v>
      </c>
      <c r="AA218" s="185">
        <f t="shared" ref="AA218:AA233" si="161">IF(C218=$T$30,J218,0)</f>
        <v>0</v>
      </c>
      <c r="AC218" s="185">
        <f t="shared" ref="AC218:AC233" si="162">IF(C218=$T$30,K218,0)</f>
        <v>0</v>
      </c>
      <c r="AE218" s="185">
        <f t="shared" ref="AE218:AE233" si="163">IF(C218=$T$30,L218,0)</f>
        <v>0</v>
      </c>
      <c r="AG218" s="185">
        <f t="shared" ref="AG218:AG233" si="164">IF(C218=$T$30,M218,0)</f>
        <v>0</v>
      </c>
    </row>
    <row r="219" spans="1:37" ht="15.6" customHeight="1" x14ac:dyDescent="0.25">
      <c r="A219" s="210"/>
      <c r="B219" s="227" t="str">
        <f>IF(OR(B184="Podnik 3.",B184=""),"",B184)</f>
        <v/>
      </c>
      <c r="C219" s="619" t="str">
        <f t="shared" ref="C219:C245" si="165">IF(C184&gt;20,C184-1,"")</f>
        <v/>
      </c>
      <c r="D219" s="620"/>
      <c r="E219" s="289"/>
      <c r="F219" s="746"/>
      <c r="G219" s="746"/>
      <c r="H219" s="746"/>
      <c r="I219" s="746"/>
      <c r="J219" s="294"/>
      <c r="K219" s="294"/>
      <c r="L219" s="292"/>
      <c r="M219" s="293"/>
      <c r="N219" s="206"/>
      <c r="S219" s="164"/>
      <c r="Y219" s="185">
        <f t="shared" si="160"/>
        <v>0</v>
      </c>
      <c r="AA219" s="185">
        <f t="shared" si="161"/>
        <v>0</v>
      </c>
      <c r="AC219" s="185">
        <f t="shared" si="162"/>
        <v>0</v>
      </c>
      <c r="AE219" s="185">
        <f t="shared" si="163"/>
        <v>0</v>
      </c>
      <c r="AG219" s="185">
        <f t="shared" si="164"/>
        <v>0</v>
      </c>
    </row>
    <row r="220" spans="1:37" ht="15.6" customHeight="1" x14ac:dyDescent="0.25">
      <c r="A220" s="210"/>
      <c r="B220" s="227" t="str">
        <f>IF(OR(B185="Podnik 4.",B185=""),"",B185)</f>
        <v/>
      </c>
      <c r="C220" s="619" t="str">
        <f t="shared" si="165"/>
        <v/>
      </c>
      <c r="D220" s="620"/>
      <c r="E220" s="289"/>
      <c r="F220" s="746"/>
      <c r="G220" s="746"/>
      <c r="H220" s="746"/>
      <c r="I220" s="746"/>
      <c r="J220" s="294"/>
      <c r="K220" s="294"/>
      <c r="L220" s="292"/>
      <c r="M220" s="293"/>
      <c r="N220" s="206"/>
      <c r="S220" s="164"/>
      <c r="Y220" s="185">
        <f t="shared" si="160"/>
        <v>0</v>
      </c>
      <c r="AA220" s="185">
        <f t="shared" si="161"/>
        <v>0</v>
      </c>
      <c r="AC220" s="185">
        <f t="shared" si="162"/>
        <v>0</v>
      </c>
      <c r="AE220" s="185">
        <f t="shared" si="163"/>
        <v>0</v>
      </c>
      <c r="AG220" s="185">
        <f t="shared" si="164"/>
        <v>0</v>
      </c>
    </row>
    <row r="221" spans="1:37" ht="15.6" customHeight="1" x14ac:dyDescent="0.25">
      <c r="A221" s="210"/>
      <c r="B221" s="226" t="str">
        <f>IF(OR(B186="Podnik 5.",B186=""),"",B186)</f>
        <v/>
      </c>
      <c r="C221" s="619" t="str">
        <f t="shared" si="165"/>
        <v/>
      </c>
      <c r="D221" s="620"/>
      <c r="E221" s="289"/>
      <c r="F221" s="746"/>
      <c r="G221" s="746"/>
      <c r="H221" s="746"/>
      <c r="I221" s="746"/>
      <c r="J221" s="294"/>
      <c r="K221" s="294"/>
      <c r="L221" s="292"/>
      <c r="M221" s="293"/>
      <c r="N221" s="206"/>
      <c r="S221" s="164"/>
      <c r="Y221" s="185">
        <f t="shared" si="160"/>
        <v>0</v>
      </c>
      <c r="AA221" s="185">
        <f t="shared" si="161"/>
        <v>0</v>
      </c>
      <c r="AC221" s="185">
        <f t="shared" si="162"/>
        <v>0</v>
      </c>
      <c r="AE221" s="185">
        <f t="shared" si="163"/>
        <v>0</v>
      </c>
      <c r="AG221" s="185">
        <f t="shared" si="164"/>
        <v>0</v>
      </c>
    </row>
    <row r="222" spans="1:37" ht="15.6" customHeight="1" x14ac:dyDescent="0.25">
      <c r="A222" s="210"/>
      <c r="B222" s="227" t="str">
        <f>IF(OR(B187="Podnik 6.",B187=""),"",B187)</f>
        <v/>
      </c>
      <c r="C222" s="619" t="str">
        <f t="shared" si="165"/>
        <v/>
      </c>
      <c r="D222" s="620"/>
      <c r="E222" s="289"/>
      <c r="F222" s="746"/>
      <c r="G222" s="746"/>
      <c r="H222" s="746"/>
      <c r="I222" s="746"/>
      <c r="J222" s="294"/>
      <c r="K222" s="294"/>
      <c r="L222" s="292"/>
      <c r="M222" s="293"/>
      <c r="N222" s="206"/>
      <c r="S222" s="164"/>
      <c r="Y222" s="185">
        <f t="shared" si="160"/>
        <v>0</v>
      </c>
      <c r="AA222" s="185">
        <f t="shared" si="161"/>
        <v>0</v>
      </c>
      <c r="AC222" s="185">
        <f t="shared" si="162"/>
        <v>0</v>
      </c>
      <c r="AE222" s="185">
        <f t="shared" si="163"/>
        <v>0</v>
      </c>
      <c r="AG222" s="185">
        <f t="shared" si="164"/>
        <v>0</v>
      </c>
    </row>
    <row r="223" spans="1:37" ht="15.6" customHeight="1" x14ac:dyDescent="0.25">
      <c r="A223" s="210"/>
      <c r="B223" s="227" t="str">
        <f>IF(OR(B188="Podnik 7.",B188=""),"",B188)</f>
        <v/>
      </c>
      <c r="C223" s="619" t="str">
        <f t="shared" si="165"/>
        <v/>
      </c>
      <c r="D223" s="620"/>
      <c r="E223" s="289"/>
      <c r="F223" s="746"/>
      <c r="G223" s="746"/>
      <c r="H223" s="746"/>
      <c r="I223" s="746"/>
      <c r="J223" s="294"/>
      <c r="K223" s="294"/>
      <c r="L223" s="292"/>
      <c r="M223" s="293"/>
      <c r="N223" s="206"/>
      <c r="S223" s="164"/>
      <c r="T223" s="155"/>
      <c r="Y223" s="185">
        <f t="shared" si="160"/>
        <v>0</v>
      </c>
      <c r="AA223" s="185">
        <f t="shared" si="161"/>
        <v>0</v>
      </c>
      <c r="AC223" s="185">
        <f t="shared" si="162"/>
        <v>0</v>
      </c>
      <c r="AE223" s="185">
        <f t="shared" si="163"/>
        <v>0</v>
      </c>
      <c r="AG223" s="185">
        <f t="shared" si="164"/>
        <v>0</v>
      </c>
    </row>
    <row r="224" spans="1:37" ht="15.6" customHeight="1" x14ac:dyDescent="0.25">
      <c r="A224" s="210"/>
      <c r="B224" s="226" t="str">
        <f>IF(OR(B189="Podnik 8.",B189=""),"",B189)</f>
        <v/>
      </c>
      <c r="C224" s="619" t="str">
        <f t="shared" si="165"/>
        <v/>
      </c>
      <c r="D224" s="620"/>
      <c r="E224" s="289"/>
      <c r="F224" s="746"/>
      <c r="G224" s="746"/>
      <c r="H224" s="746"/>
      <c r="I224" s="746"/>
      <c r="J224" s="294"/>
      <c r="K224" s="294"/>
      <c r="L224" s="292"/>
      <c r="M224" s="293"/>
      <c r="N224" s="206"/>
      <c r="S224" s="164"/>
      <c r="T224" s="155"/>
      <c r="Y224" s="185">
        <f t="shared" si="160"/>
        <v>0</v>
      </c>
      <c r="AA224" s="185">
        <f t="shared" si="161"/>
        <v>0</v>
      </c>
      <c r="AC224" s="185">
        <f t="shared" si="162"/>
        <v>0</v>
      </c>
      <c r="AE224" s="185">
        <f t="shared" si="163"/>
        <v>0</v>
      </c>
      <c r="AG224" s="185">
        <f t="shared" si="164"/>
        <v>0</v>
      </c>
    </row>
    <row r="225" spans="1:33" ht="15.6" customHeight="1" x14ac:dyDescent="0.25">
      <c r="A225" s="210"/>
      <c r="B225" s="227" t="str">
        <f>IF(OR(B190="Podnik 9.",B190=""),"",B190)</f>
        <v/>
      </c>
      <c r="C225" s="619" t="str">
        <f t="shared" si="165"/>
        <v/>
      </c>
      <c r="D225" s="620"/>
      <c r="E225" s="289"/>
      <c r="F225" s="746"/>
      <c r="G225" s="746"/>
      <c r="H225" s="746"/>
      <c r="I225" s="746"/>
      <c r="J225" s="294"/>
      <c r="K225" s="294"/>
      <c r="L225" s="292"/>
      <c r="M225" s="293"/>
      <c r="N225" s="206"/>
      <c r="S225" s="164"/>
      <c r="T225" s="155"/>
      <c r="Y225" s="185">
        <f t="shared" si="160"/>
        <v>0</v>
      </c>
      <c r="AA225" s="185">
        <f t="shared" si="161"/>
        <v>0</v>
      </c>
      <c r="AC225" s="185">
        <f t="shared" si="162"/>
        <v>0</v>
      </c>
      <c r="AE225" s="185">
        <f t="shared" si="163"/>
        <v>0</v>
      </c>
      <c r="AG225" s="185">
        <f t="shared" si="164"/>
        <v>0</v>
      </c>
    </row>
    <row r="226" spans="1:33" ht="15.6" customHeight="1" x14ac:dyDescent="0.25">
      <c r="A226" s="210"/>
      <c r="B226" s="227" t="str">
        <f>IF(OR(B191="Podnik 10.",B191=""),"",B191)</f>
        <v/>
      </c>
      <c r="C226" s="619" t="str">
        <f t="shared" si="165"/>
        <v/>
      </c>
      <c r="D226" s="620"/>
      <c r="E226" s="289"/>
      <c r="F226" s="746"/>
      <c r="G226" s="746"/>
      <c r="H226" s="746"/>
      <c r="I226" s="746"/>
      <c r="J226" s="294"/>
      <c r="K226" s="294"/>
      <c r="L226" s="292"/>
      <c r="M226" s="293"/>
      <c r="N226" s="206"/>
      <c r="S226" s="164"/>
      <c r="T226" s="155"/>
      <c r="Y226" s="185">
        <f t="shared" si="160"/>
        <v>0</v>
      </c>
      <c r="AA226" s="185">
        <f t="shared" si="161"/>
        <v>0</v>
      </c>
      <c r="AC226" s="185">
        <f t="shared" si="162"/>
        <v>0</v>
      </c>
      <c r="AE226" s="185">
        <f t="shared" si="163"/>
        <v>0</v>
      </c>
      <c r="AG226" s="185">
        <f t="shared" si="164"/>
        <v>0</v>
      </c>
    </row>
    <row r="227" spans="1:33" ht="15.6" customHeight="1" x14ac:dyDescent="0.25">
      <c r="A227" s="210"/>
      <c r="B227" s="226" t="str">
        <f>IF(OR(B192="Podnik 11.",B192=""),"",B192)</f>
        <v/>
      </c>
      <c r="C227" s="619" t="str">
        <f t="shared" si="165"/>
        <v/>
      </c>
      <c r="D227" s="620"/>
      <c r="E227" s="289"/>
      <c r="F227" s="746"/>
      <c r="G227" s="746"/>
      <c r="H227" s="746"/>
      <c r="I227" s="746"/>
      <c r="J227" s="294"/>
      <c r="K227" s="294"/>
      <c r="L227" s="292"/>
      <c r="M227" s="293"/>
      <c r="N227" s="206"/>
      <c r="S227" s="164"/>
      <c r="Y227" s="185">
        <f t="shared" si="160"/>
        <v>0</v>
      </c>
      <c r="AA227" s="185">
        <f t="shared" si="161"/>
        <v>0</v>
      </c>
      <c r="AC227" s="185">
        <f t="shared" si="162"/>
        <v>0</v>
      </c>
      <c r="AE227" s="185">
        <f t="shared" si="163"/>
        <v>0</v>
      </c>
      <c r="AG227" s="185">
        <f t="shared" si="164"/>
        <v>0</v>
      </c>
    </row>
    <row r="228" spans="1:33" ht="15.6" customHeight="1" x14ac:dyDescent="0.25">
      <c r="A228" s="210"/>
      <c r="B228" s="227" t="str">
        <f>IF(OR(B193="Podnik 12.",B193=""),"",B193)</f>
        <v/>
      </c>
      <c r="C228" s="619" t="str">
        <f t="shared" si="165"/>
        <v/>
      </c>
      <c r="D228" s="620"/>
      <c r="E228" s="289"/>
      <c r="F228" s="746"/>
      <c r="G228" s="746"/>
      <c r="H228" s="746"/>
      <c r="I228" s="746"/>
      <c r="J228" s="294"/>
      <c r="K228" s="294"/>
      <c r="L228" s="292"/>
      <c r="M228" s="293"/>
      <c r="N228" s="206"/>
      <c r="S228" s="164"/>
      <c r="Y228" s="185">
        <f t="shared" si="160"/>
        <v>0</v>
      </c>
      <c r="AA228" s="185">
        <f t="shared" si="161"/>
        <v>0</v>
      </c>
      <c r="AC228" s="185">
        <f t="shared" si="162"/>
        <v>0</v>
      </c>
      <c r="AE228" s="185">
        <f t="shared" si="163"/>
        <v>0</v>
      </c>
      <c r="AG228" s="185">
        <f t="shared" si="164"/>
        <v>0</v>
      </c>
    </row>
    <row r="229" spans="1:33" ht="15.6" customHeight="1" x14ac:dyDescent="0.25">
      <c r="A229" s="210"/>
      <c r="B229" s="227" t="str">
        <f>IF(OR(B194="Podnik 13.",B194=""),"",B194)</f>
        <v/>
      </c>
      <c r="C229" s="619" t="str">
        <f t="shared" si="165"/>
        <v/>
      </c>
      <c r="D229" s="620"/>
      <c r="E229" s="289"/>
      <c r="F229" s="746"/>
      <c r="G229" s="746"/>
      <c r="H229" s="746"/>
      <c r="I229" s="746"/>
      <c r="J229" s="294"/>
      <c r="K229" s="294"/>
      <c r="L229" s="292"/>
      <c r="M229" s="293"/>
      <c r="N229" s="206"/>
      <c r="S229" s="164"/>
      <c r="Y229" s="185">
        <f t="shared" si="160"/>
        <v>0</v>
      </c>
      <c r="AA229" s="185">
        <f t="shared" si="161"/>
        <v>0</v>
      </c>
      <c r="AC229" s="185">
        <f t="shared" si="162"/>
        <v>0</v>
      </c>
      <c r="AE229" s="185">
        <f t="shared" si="163"/>
        <v>0</v>
      </c>
      <c r="AG229" s="185">
        <f t="shared" si="164"/>
        <v>0</v>
      </c>
    </row>
    <row r="230" spans="1:33" ht="15.6" customHeight="1" x14ac:dyDescent="0.25">
      <c r="A230" s="210"/>
      <c r="B230" s="226" t="str">
        <f>IF(OR(B195="Podnik 14.",B195=""),"",B195)</f>
        <v/>
      </c>
      <c r="C230" s="619" t="str">
        <f t="shared" si="165"/>
        <v/>
      </c>
      <c r="D230" s="620"/>
      <c r="E230" s="289"/>
      <c r="F230" s="746"/>
      <c r="G230" s="746"/>
      <c r="H230" s="746"/>
      <c r="I230" s="746"/>
      <c r="J230" s="294"/>
      <c r="K230" s="294"/>
      <c r="L230" s="292"/>
      <c r="M230" s="293"/>
      <c r="N230" s="206"/>
      <c r="S230" s="164"/>
      <c r="Y230" s="185">
        <f t="shared" si="160"/>
        <v>0</v>
      </c>
      <c r="AA230" s="185">
        <f t="shared" si="161"/>
        <v>0</v>
      </c>
      <c r="AC230" s="185">
        <f t="shared" si="162"/>
        <v>0</v>
      </c>
      <c r="AE230" s="185">
        <f t="shared" si="163"/>
        <v>0</v>
      </c>
      <c r="AG230" s="185">
        <f t="shared" si="164"/>
        <v>0</v>
      </c>
    </row>
    <row r="231" spans="1:33" ht="15.6" customHeight="1" x14ac:dyDescent="0.25">
      <c r="A231" s="210"/>
      <c r="B231" s="227" t="str">
        <f>IF(OR(B196="Podnik 15.",B196=""),"",B196)</f>
        <v/>
      </c>
      <c r="C231" s="619" t="str">
        <f t="shared" si="165"/>
        <v/>
      </c>
      <c r="D231" s="620"/>
      <c r="E231" s="289"/>
      <c r="F231" s="746"/>
      <c r="G231" s="746"/>
      <c r="H231" s="746"/>
      <c r="I231" s="746"/>
      <c r="J231" s="294"/>
      <c r="K231" s="294"/>
      <c r="L231" s="292"/>
      <c r="M231" s="293"/>
      <c r="N231" s="206"/>
      <c r="S231" s="164"/>
      <c r="Y231" s="185">
        <f t="shared" si="160"/>
        <v>0</v>
      </c>
      <c r="AA231" s="185">
        <f t="shared" si="161"/>
        <v>0</v>
      </c>
      <c r="AC231" s="185">
        <f t="shared" si="162"/>
        <v>0</v>
      </c>
      <c r="AE231" s="185">
        <f t="shared" si="163"/>
        <v>0</v>
      </c>
      <c r="AG231" s="185">
        <f t="shared" si="164"/>
        <v>0</v>
      </c>
    </row>
    <row r="232" spans="1:33" ht="15.6" customHeight="1" x14ac:dyDescent="0.25">
      <c r="A232" s="210"/>
      <c r="B232" s="227" t="str">
        <f>IF(OR(B197="Podnik 16.",B197=""),"",B197)</f>
        <v/>
      </c>
      <c r="C232" s="619" t="str">
        <f>IF(C197&gt;20,C197-1,"")</f>
        <v/>
      </c>
      <c r="D232" s="620"/>
      <c r="E232" s="291"/>
      <c r="F232" s="746"/>
      <c r="G232" s="746"/>
      <c r="H232" s="746"/>
      <c r="I232" s="746"/>
      <c r="J232" s="295"/>
      <c r="K232" s="295"/>
      <c r="L232" s="296"/>
      <c r="M232" s="297"/>
      <c r="N232" s="206"/>
      <c r="S232" s="164"/>
      <c r="Y232" s="185">
        <f t="shared" si="160"/>
        <v>0</v>
      </c>
      <c r="AA232" s="185">
        <f t="shared" si="161"/>
        <v>0</v>
      </c>
      <c r="AC232" s="185">
        <f t="shared" si="162"/>
        <v>0</v>
      </c>
      <c r="AE232" s="185">
        <f t="shared" si="163"/>
        <v>0</v>
      </c>
      <c r="AG232" s="185">
        <f t="shared" si="164"/>
        <v>0</v>
      </c>
    </row>
    <row r="233" spans="1:33" ht="15.6" customHeight="1" x14ac:dyDescent="0.25">
      <c r="A233" s="210"/>
      <c r="B233" s="227" t="str">
        <f>IF(OR(B198="Podnik 17.",B198=""),"",B198)</f>
        <v/>
      </c>
      <c r="C233" s="619" t="str">
        <f t="shared" si="165"/>
        <v/>
      </c>
      <c r="D233" s="620"/>
      <c r="E233" s="291"/>
      <c r="F233" s="747"/>
      <c r="G233" s="747"/>
      <c r="H233" s="747"/>
      <c r="I233" s="747"/>
      <c r="J233" s="286"/>
      <c r="K233" s="286"/>
      <c r="L233" s="381"/>
      <c r="M233" s="387"/>
      <c r="N233" s="206"/>
      <c r="S233" s="164"/>
      <c r="Y233" s="185">
        <f t="shared" si="160"/>
        <v>0</v>
      </c>
      <c r="AA233" s="185">
        <f t="shared" si="161"/>
        <v>0</v>
      </c>
      <c r="AC233" s="185">
        <f t="shared" si="162"/>
        <v>0</v>
      </c>
      <c r="AE233" s="185">
        <f t="shared" si="163"/>
        <v>0</v>
      </c>
      <c r="AG233" s="185">
        <f t="shared" si="164"/>
        <v>0</v>
      </c>
    </row>
    <row r="234" spans="1:33" ht="15.6" customHeight="1" x14ac:dyDescent="0.25">
      <c r="A234" s="210"/>
      <c r="B234" s="227" t="str">
        <f>IF(OR(B199="Podnik 18.",B199=""),"",B199)</f>
        <v/>
      </c>
      <c r="C234" s="619" t="str">
        <f t="shared" si="165"/>
        <v/>
      </c>
      <c r="D234" s="620"/>
      <c r="E234" s="291"/>
      <c r="F234" s="747"/>
      <c r="G234" s="747"/>
      <c r="H234" s="747"/>
      <c r="I234" s="747"/>
      <c r="J234" s="286"/>
      <c r="K234" s="286"/>
      <c r="L234" s="381"/>
      <c r="M234" s="387"/>
      <c r="N234" s="206"/>
      <c r="S234" s="164"/>
      <c r="Y234" s="185">
        <f t="shared" ref="Y234:Y246" si="166">IF(C234=$T$30,E234,0)</f>
        <v>0</v>
      </c>
      <c r="AA234" s="185">
        <f t="shared" ref="AA234:AA246" si="167">IF(C234=$T$30,J234,0)</f>
        <v>0</v>
      </c>
      <c r="AC234" s="185">
        <f t="shared" ref="AC234:AC246" si="168">IF(C234=$T$30,K234,0)</f>
        <v>0</v>
      </c>
      <c r="AE234" s="185">
        <f t="shared" ref="AE234:AE246" si="169">IF(C234=$T$30,L234,0)</f>
        <v>0</v>
      </c>
      <c r="AG234" s="185">
        <f t="shared" ref="AG234:AG246" si="170">IF(C234=$T$30,M234,0)</f>
        <v>0</v>
      </c>
    </row>
    <row r="235" spans="1:33" ht="15.6" customHeight="1" x14ac:dyDescent="0.25">
      <c r="A235" s="210"/>
      <c r="B235" s="226" t="str">
        <f>IF(OR(B200="Podnik 19.",B200=""),"",B200)</f>
        <v/>
      </c>
      <c r="C235" s="619" t="str">
        <f t="shared" si="165"/>
        <v/>
      </c>
      <c r="D235" s="620"/>
      <c r="E235" s="291"/>
      <c r="F235" s="747"/>
      <c r="G235" s="747"/>
      <c r="H235" s="747"/>
      <c r="I235" s="747"/>
      <c r="J235" s="286"/>
      <c r="K235" s="286"/>
      <c r="L235" s="381"/>
      <c r="M235" s="387"/>
      <c r="N235" s="206"/>
      <c r="S235" s="164"/>
      <c r="Y235" s="185">
        <f t="shared" si="166"/>
        <v>0</v>
      </c>
      <c r="AA235" s="185">
        <f t="shared" si="167"/>
        <v>0</v>
      </c>
      <c r="AC235" s="185">
        <f t="shared" si="168"/>
        <v>0</v>
      </c>
      <c r="AE235" s="185">
        <f t="shared" si="169"/>
        <v>0</v>
      </c>
      <c r="AG235" s="185">
        <f t="shared" si="170"/>
        <v>0</v>
      </c>
    </row>
    <row r="236" spans="1:33" ht="15.6" customHeight="1" x14ac:dyDescent="0.25">
      <c r="A236" s="210"/>
      <c r="B236" s="227" t="str">
        <f>IF(OR(B201="Podnik 20.",B201=""),"",B201)</f>
        <v/>
      </c>
      <c r="C236" s="619" t="str">
        <f t="shared" si="165"/>
        <v/>
      </c>
      <c r="D236" s="620"/>
      <c r="E236" s="291"/>
      <c r="F236" s="747"/>
      <c r="G236" s="747"/>
      <c r="H236" s="747"/>
      <c r="I236" s="747"/>
      <c r="J236" s="286"/>
      <c r="K236" s="286"/>
      <c r="L236" s="381"/>
      <c r="M236" s="387"/>
      <c r="N236" s="206"/>
      <c r="S236" s="164"/>
      <c r="Y236" s="185">
        <f t="shared" si="166"/>
        <v>0</v>
      </c>
      <c r="AA236" s="185">
        <f t="shared" si="167"/>
        <v>0</v>
      </c>
      <c r="AC236" s="185">
        <f t="shared" si="168"/>
        <v>0</v>
      </c>
      <c r="AE236" s="185">
        <f t="shared" si="169"/>
        <v>0</v>
      </c>
      <c r="AG236" s="185">
        <f t="shared" si="170"/>
        <v>0</v>
      </c>
    </row>
    <row r="237" spans="1:33" ht="15.6" hidden="1" customHeight="1" x14ac:dyDescent="0.25">
      <c r="A237" s="210"/>
      <c r="B237" s="227" t="str">
        <f>IF(OR(B202="Podnik 21.",B202=""),"",B202)</f>
        <v/>
      </c>
      <c r="C237" s="619" t="str">
        <f t="shared" si="165"/>
        <v/>
      </c>
      <c r="D237" s="620"/>
      <c r="E237" s="291"/>
      <c r="F237" s="747"/>
      <c r="G237" s="747"/>
      <c r="H237" s="747"/>
      <c r="I237" s="747"/>
      <c r="J237" s="286"/>
      <c r="K237" s="286"/>
      <c r="L237" s="381"/>
      <c r="M237" s="387"/>
      <c r="N237" s="206"/>
      <c r="S237" s="164"/>
      <c r="Y237" s="185">
        <f t="shared" si="166"/>
        <v>0</v>
      </c>
      <c r="AA237" s="185">
        <f t="shared" si="167"/>
        <v>0</v>
      </c>
      <c r="AC237" s="185">
        <f t="shared" si="168"/>
        <v>0</v>
      </c>
      <c r="AE237" s="185">
        <f t="shared" si="169"/>
        <v>0</v>
      </c>
      <c r="AG237" s="185">
        <f t="shared" si="170"/>
        <v>0</v>
      </c>
    </row>
    <row r="238" spans="1:33" ht="15.6" hidden="1" customHeight="1" x14ac:dyDescent="0.25">
      <c r="A238" s="210"/>
      <c r="B238" s="226" t="str">
        <f>IF(OR(B203="Podnik 22.",B203=""),"",B203)</f>
        <v/>
      </c>
      <c r="C238" s="619" t="str">
        <f t="shared" si="165"/>
        <v/>
      </c>
      <c r="D238" s="620"/>
      <c r="E238" s="291"/>
      <c r="F238" s="747"/>
      <c r="G238" s="747"/>
      <c r="H238" s="747"/>
      <c r="I238" s="747"/>
      <c r="J238" s="286"/>
      <c r="K238" s="286"/>
      <c r="L238" s="381"/>
      <c r="M238" s="387"/>
      <c r="N238" s="206"/>
      <c r="S238" s="164"/>
      <c r="Y238" s="185">
        <f t="shared" si="166"/>
        <v>0</v>
      </c>
      <c r="AA238" s="185">
        <f t="shared" si="167"/>
        <v>0</v>
      </c>
      <c r="AC238" s="185">
        <f t="shared" si="168"/>
        <v>0</v>
      </c>
      <c r="AE238" s="185">
        <f t="shared" si="169"/>
        <v>0</v>
      </c>
      <c r="AG238" s="185">
        <f t="shared" si="170"/>
        <v>0</v>
      </c>
    </row>
    <row r="239" spans="1:33" ht="15.6" hidden="1" customHeight="1" x14ac:dyDescent="0.25">
      <c r="A239" s="210"/>
      <c r="B239" s="227" t="str">
        <f>IF(OR(B204="Podnik 23.",B204=""),"",B204)</f>
        <v/>
      </c>
      <c r="C239" s="619" t="str">
        <f t="shared" si="165"/>
        <v/>
      </c>
      <c r="D239" s="620"/>
      <c r="E239" s="291"/>
      <c r="F239" s="747"/>
      <c r="G239" s="747"/>
      <c r="H239" s="747"/>
      <c r="I239" s="747"/>
      <c r="J239" s="286"/>
      <c r="K239" s="286"/>
      <c r="L239" s="381"/>
      <c r="M239" s="387"/>
      <c r="N239" s="206"/>
      <c r="S239" s="164"/>
      <c r="Y239" s="185">
        <f t="shared" si="166"/>
        <v>0</v>
      </c>
      <c r="AA239" s="185">
        <f t="shared" si="167"/>
        <v>0</v>
      </c>
      <c r="AC239" s="185">
        <f t="shared" si="168"/>
        <v>0</v>
      </c>
      <c r="AE239" s="185">
        <f t="shared" si="169"/>
        <v>0</v>
      </c>
      <c r="AG239" s="185">
        <f t="shared" si="170"/>
        <v>0</v>
      </c>
    </row>
    <row r="240" spans="1:33" ht="15.6" hidden="1" customHeight="1" x14ac:dyDescent="0.25">
      <c r="A240" s="210"/>
      <c r="B240" s="227" t="str">
        <f>IF(OR(B205="Podnik 24.",B205=""),"",B205)</f>
        <v/>
      </c>
      <c r="C240" s="619" t="str">
        <f t="shared" si="165"/>
        <v/>
      </c>
      <c r="D240" s="620"/>
      <c r="E240" s="291"/>
      <c r="F240" s="747"/>
      <c r="G240" s="747"/>
      <c r="H240" s="747"/>
      <c r="I240" s="747"/>
      <c r="J240" s="286"/>
      <c r="K240" s="286"/>
      <c r="L240" s="381"/>
      <c r="M240" s="387"/>
      <c r="N240" s="206"/>
      <c r="S240" s="164"/>
      <c r="Y240" s="185">
        <f t="shared" si="166"/>
        <v>0</v>
      </c>
      <c r="AA240" s="185">
        <f t="shared" si="167"/>
        <v>0</v>
      </c>
      <c r="AC240" s="185">
        <f t="shared" si="168"/>
        <v>0</v>
      </c>
      <c r="AE240" s="185">
        <f t="shared" si="169"/>
        <v>0</v>
      </c>
      <c r="AG240" s="185">
        <f t="shared" si="170"/>
        <v>0</v>
      </c>
    </row>
    <row r="241" spans="1:33" ht="15.6" hidden="1" customHeight="1" x14ac:dyDescent="0.25">
      <c r="A241" s="210"/>
      <c r="B241" s="226" t="str">
        <f>IF(OR(B206="Podnik 25.",B206=""),"",B206)</f>
        <v/>
      </c>
      <c r="C241" s="619" t="str">
        <f t="shared" si="165"/>
        <v/>
      </c>
      <c r="D241" s="620"/>
      <c r="E241" s="291"/>
      <c r="F241" s="747"/>
      <c r="G241" s="747"/>
      <c r="H241" s="747"/>
      <c r="I241" s="747"/>
      <c r="J241" s="286"/>
      <c r="K241" s="286"/>
      <c r="L241" s="381"/>
      <c r="M241" s="387"/>
      <c r="N241" s="206"/>
      <c r="S241" s="164"/>
      <c r="Y241" s="185">
        <f t="shared" si="166"/>
        <v>0</v>
      </c>
      <c r="AA241" s="185">
        <f t="shared" si="167"/>
        <v>0</v>
      </c>
      <c r="AC241" s="185">
        <f t="shared" si="168"/>
        <v>0</v>
      </c>
      <c r="AE241" s="185">
        <f t="shared" si="169"/>
        <v>0</v>
      </c>
      <c r="AG241" s="185">
        <f t="shared" si="170"/>
        <v>0</v>
      </c>
    </row>
    <row r="242" spans="1:33" ht="15.6" hidden="1" customHeight="1" x14ac:dyDescent="0.25">
      <c r="A242" s="210"/>
      <c r="B242" s="227" t="str">
        <f>IF(OR(B207="Podnik 26.",B207=""),"",B207)</f>
        <v/>
      </c>
      <c r="C242" s="619" t="str">
        <f t="shared" si="165"/>
        <v/>
      </c>
      <c r="D242" s="620"/>
      <c r="E242" s="291"/>
      <c r="F242" s="747"/>
      <c r="G242" s="747"/>
      <c r="H242" s="747"/>
      <c r="I242" s="747"/>
      <c r="J242" s="286"/>
      <c r="K242" s="286"/>
      <c r="L242" s="381"/>
      <c r="M242" s="387"/>
      <c r="N242" s="206"/>
      <c r="S242" s="164"/>
      <c r="Y242" s="185">
        <f t="shared" si="166"/>
        <v>0</v>
      </c>
      <c r="AA242" s="185">
        <f t="shared" si="167"/>
        <v>0</v>
      </c>
      <c r="AC242" s="185">
        <f t="shared" si="168"/>
        <v>0</v>
      </c>
      <c r="AE242" s="185">
        <f t="shared" si="169"/>
        <v>0</v>
      </c>
      <c r="AG242" s="185">
        <f t="shared" si="170"/>
        <v>0</v>
      </c>
    </row>
    <row r="243" spans="1:33" ht="15.6" hidden="1" customHeight="1" x14ac:dyDescent="0.25">
      <c r="A243" s="210"/>
      <c r="B243" s="227" t="str">
        <f>IF(OR(B208="Podnik 27.",B208=""),"",B208)</f>
        <v/>
      </c>
      <c r="C243" s="619" t="str">
        <f t="shared" si="165"/>
        <v/>
      </c>
      <c r="D243" s="620"/>
      <c r="E243" s="291"/>
      <c r="F243" s="747"/>
      <c r="G243" s="747"/>
      <c r="H243" s="747"/>
      <c r="I243" s="747"/>
      <c r="J243" s="286"/>
      <c r="K243" s="286"/>
      <c r="L243" s="381"/>
      <c r="M243" s="387"/>
      <c r="N243" s="206"/>
      <c r="S243" s="164"/>
      <c r="Y243" s="185">
        <f t="shared" si="166"/>
        <v>0</v>
      </c>
      <c r="AA243" s="185">
        <f t="shared" si="167"/>
        <v>0</v>
      </c>
      <c r="AC243" s="185">
        <f t="shared" si="168"/>
        <v>0</v>
      </c>
      <c r="AE243" s="185">
        <f t="shared" si="169"/>
        <v>0</v>
      </c>
      <c r="AG243" s="185">
        <f t="shared" si="170"/>
        <v>0</v>
      </c>
    </row>
    <row r="244" spans="1:33" ht="15.6" hidden="1" customHeight="1" x14ac:dyDescent="0.25">
      <c r="A244" s="210"/>
      <c r="B244" s="226" t="str">
        <f>IF(OR(B209="Podnik 28.",B209=""),"",B209)</f>
        <v/>
      </c>
      <c r="C244" s="619" t="str">
        <f t="shared" si="165"/>
        <v/>
      </c>
      <c r="D244" s="620"/>
      <c r="E244" s="291"/>
      <c r="F244" s="747"/>
      <c r="G244" s="747"/>
      <c r="H244" s="747"/>
      <c r="I244" s="747"/>
      <c r="J244" s="286"/>
      <c r="K244" s="286"/>
      <c r="L244" s="381"/>
      <c r="M244" s="387"/>
      <c r="N244" s="206"/>
      <c r="S244" s="164"/>
      <c r="Y244" s="185">
        <f t="shared" si="166"/>
        <v>0</v>
      </c>
      <c r="AA244" s="185">
        <f t="shared" si="167"/>
        <v>0</v>
      </c>
      <c r="AC244" s="185">
        <f t="shared" si="168"/>
        <v>0</v>
      </c>
      <c r="AE244" s="185">
        <f t="shared" si="169"/>
        <v>0</v>
      </c>
      <c r="AG244" s="185">
        <f t="shared" si="170"/>
        <v>0</v>
      </c>
    </row>
    <row r="245" spans="1:33" ht="15.6" hidden="1" customHeight="1" x14ac:dyDescent="0.25">
      <c r="A245" s="210"/>
      <c r="B245" s="227" t="str">
        <f>IF(OR(B210="Podnik 29.",B210=""),"",B210)</f>
        <v/>
      </c>
      <c r="C245" s="619" t="str">
        <f t="shared" si="165"/>
        <v/>
      </c>
      <c r="D245" s="620"/>
      <c r="E245" s="291"/>
      <c r="F245" s="747"/>
      <c r="G245" s="747"/>
      <c r="H245" s="747"/>
      <c r="I245" s="747"/>
      <c r="J245" s="286"/>
      <c r="K245" s="286"/>
      <c r="L245" s="381"/>
      <c r="M245" s="387"/>
      <c r="N245" s="206"/>
      <c r="S245" s="164"/>
      <c r="Y245" s="185">
        <f t="shared" si="166"/>
        <v>0</v>
      </c>
      <c r="AA245" s="185">
        <f t="shared" si="167"/>
        <v>0</v>
      </c>
      <c r="AC245" s="185">
        <f t="shared" si="168"/>
        <v>0</v>
      </c>
      <c r="AE245" s="185">
        <f t="shared" si="169"/>
        <v>0</v>
      </c>
      <c r="AG245" s="185">
        <f t="shared" si="170"/>
        <v>0</v>
      </c>
    </row>
    <row r="246" spans="1:33" ht="15.6" hidden="1" customHeight="1" x14ac:dyDescent="0.25">
      <c r="A246" s="210"/>
      <c r="B246" s="227" t="str">
        <f>IF(OR(B211="Podnik 30.",B211=""),"",B211)</f>
        <v/>
      </c>
      <c r="C246" s="619" t="str">
        <f>IF(C211&gt;20,C211-1,"")</f>
        <v/>
      </c>
      <c r="D246" s="620"/>
      <c r="E246" s="291"/>
      <c r="F246" s="747"/>
      <c r="G246" s="747"/>
      <c r="H246" s="747"/>
      <c r="I246" s="747"/>
      <c r="J246" s="286"/>
      <c r="K246" s="286"/>
      <c r="L246" s="381"/>
      <c r="M246" s="387"/>
      <c r="N246" s="206"/>
      <c r="S246" s="164"/>
      <c r="Y246" s="185">
        <f t="shared" si="166"/>
        <v>0</v>
      </c>
      <c r="AA246" s="185">
        <f t="shared" si="167"/>
        <v>0</v>
      </c>
      <c r="AC246" s="185">
        <f t="shared" si="168"/>
        <v>0</v>
      </c>
      <c r="AE246" s="185">
        <f t="shared" si="169"/>
        <v>0</v>
      </c>
      <c r="AG246" s="185">
        <f t="shared" si="170"/>
        <v>0</v>
      </c>
    </row>
    <row r="247" spans="1:33" ht="15.6" customHeight="1" thickBot="1" x14ac:dyDescent="0.3">
      <c r="A247" s="210"/>
      <c r="B247" s="722" t="s">
        <v>73</v>
      </c>
      <c r="C247" s="723"/>
      <c r="D247" s="724"/>
      <c r="E247" s="189">
        <f>SUM(E217:E246)</f>
        <v>0</v>
      </c>
      <c r="F247" s="748"/>
      <c r="G247" s="748"/>
      <c r="H247" s="748"/>
      <c r="I247" s="748"/>
      <c r="J247" s="202">
        <f>SUM(J217:J246)</f>
        <v>0</v>
      </c>
      <c r="K247" s="190">
        <f>SUM(K217:K246)</f>
        <v>0</v>
      </c>
      <c r="L247" s="190">
        <f>SUM(L217:L246)</f>
        <v>0</v>
      </c>
      <c r="M247" s="191">
        <f>SUM(M217:M246)</f>
        <v>0</v>
      </c>
      <c r="N247" s="206"/>
      <c r="S247" s="164"/>
    </row>
    <row r="248" spans="1:33" ht="27.75" customHeight="1" x14ac:dyDescent="0.25">
      <c r="A248" s="204"/>
      <c r="B248" s="205"/>
      <c r="C248" s="205"/>
      <c r="D248" s="206"/>
      <c r="E248" s="206"/>
      <c r="F248" s="205"/>
      <c r="G248" s="207"/>
      <c r="H248" s="208"/>
      <c r="I248" s="208"/>
      <c r="J248" s="208"/>
      <c r="K248" s="208"/>
      <c r="L248" s="206"/>
      <c r="M248" s="206"/>
      <c r="N248" s="206"/>
      <c r="O248" s="228" t="s">
        <v>484</v>
      </c>
    </row>
    <row r="249" spans="1:33" x14ac:dyDescent="0.25">
      <c r="O249" s="229">
        <f>IF(OR(E294="Ano",H294="Ano"),1,0)</f>
        <v>0</v>
      </c>
    </row>
    <row r="250" spans="1:33" x14ac:dyDescent="0.25">
      <c r="S250"/>
      <c r="W250" s="177">
        <f>SUM(W34:W213)</f>
        <v>0</v>
      </c>
    </row>
    <row r="251" spans="1:33" ht="16.5" thickBot="1" x14ac:dyDescent="0.3">
      <c r="B251" s="230" t="s">
        <v>464</v>
      </c>
      <c r="S251"/>
      <c r="W251" s="231" t="str">
        <f>IF(W250=0,"NE","ANO")</f>
        <v>NE</v>
      </c>
      <c r="X251" s="232">
        <f t="shared" ref="X251:AC251" si="171">SUM(X34:X250)</f>
        <v>0</v>
      </c>
      <c r="Y251" s="232">
        <f>SUM(Y34:Y250)</f>
        <v>0</v>
      </c>
      <c r="Z251" s="232">
        <f t="shared" si="171"/>
        <v>0</v>
      </c>
      <c r="AA251" s="232">
        <f>SUM(AA34:AA250)</f>
        <v>0</v>
      </c>
      <c r="AB251" s="232">
        <f t="shared" si="171"/>
        <v>0</v>
      </c>
      <c r="AC251" s="232">
        <f t="shared" si="171"/>
        <v>0</v>
      </c>
      <c r="AD251" s="232">
        <f>SUM(AD34:AD250)</f>
        <v>0</v>
      </c>
      <c r="AE251" s="232">
        <f>SUM(AE34:AE250)</f>
        <v>0</v>
      </c>
      <c r="AF251" s="232">
        <f>SUM(AF34:AF250)</f>
        <v>0</v>
      </c>
      <c r="AG251" s="232">
        <f>SUM(AG34:AG250)</f>
        <v>0</v>
      </c>
    </row>
    <row r="252" spans="1:33" s="233" customFormat="1" ht="19.5" customHeight="1" thickBot="1" x14ac:dyDescent="0.3">
      <c r="B252" s="234" t="s">
        <v>465</v>
      </c>
      <c r="C252" s="235"/>
      <c r="F252" s="235"/>
      <c r="G252" s="236"/>
      <c r="H252" s="237"/>
      <c r="I252" s="237"/>
      <c r="J252" s="237"/>
      <c r="K252" s="237"/>
      <c r="O252" s="238" t="s">
        <v>502</v>
      </c>
      <c r="P252"/>
      <c r="Q252"/>
      <c r="R252"/>
      <c r="S252"/>
      <c r="T252" s="239"/>
      <c r="W252" s="240" t="s">
        <v>477</v>
      </c>
      <c r="X252" s="241" t="s">
        <v>434</v>
      </c>
      <c r="Y252" s="241" t="s">
        <v>435</v>
      </c>
      <c r="Z252" s="241" t="s">
        <v>438</v>
      </c>
      <c r="AA252" s="241" t="s">
        <v>439</v>
      </c>
      <c r="AB252" s="241" t="s">
        <v>442</v>
      </c>
      <c r="AC252" s="241" t="s">
        <v>443</v>
      </c>
      <c r="AD252" s="241" t="s">
        <v>446</v>
      </c>
      <c r="AE252" s="241" t="s">
        <v>447</v>
      </c>
      <c r="AF252" s="241" t="s">
        <v>450</v>
      </c>
      <c r="AG252" s="241" t="s">
        <v>451</v>
      </c>
    </row>
    <row r="253" spans="1:33" ht="36" customHeight="1" thickBot="1" x14ac:dyDescent="0.3">
      <c r="A253" s="32" t="s">
        <v>420</v>
      </c>
      <c r="B253" s="512" t="s">
        <v>90</v>
      </c>
      <c r="C253" s="513"/>
      <c r="D253" s="467" t="str">
        <f>IF(AND('3. Skupina podniků'!E12="Ano",'3. Skupina podniků'!E13="Ano"),"kritéria C,D",IF(AND('3. Skupina podniků'!E12="Ano",'3. Skupina podniků'!E13="Ne",'3. Skupina podniků'!E14="Ano",'3. Skupina podniků'!E15="Ano"),"kritéria A,B,C,D",IF(AND('3. Skupina podniků'!E12="Ano",'3. Skupina podniků'!E14="Ano",'3. Skupina podniků'!E15="Ne"),"kritéria A,C,D",IF(AND('3. Skupina podniků'!E12="Ano",'3. Skupina podniků'!E14="Ne",'3. Skupina podniků'!E15="Ano"),"kritéria B,C,D",IF(AND('3. Skupina podniků'!E12="Ano",'3. Skupina podniků'!E14="Ne",'3. Skupina podniků'!E15="Ne"),"kritéria C,D",IF(AND('3. Skupina podniků'!E12="Ne",'3. Skupina podniků'!E14="Ano",'3. Skupina podniků'!E15="Ano"),"kritéria A,B,C,D,E",IF(AND('3. Skupina podniků'!E12="Ne",'3. Skupina podniků'!E14="Ano",'3. Skupina podniků'!E15="Ne"),"kritéria A,C,D,E",IF(AND('3. Skupina podniků'!E12="Ne",'3. Skupina podniků'!E14="Ne",'3. Skupina podniků'!E15="Ano"),"kritéria B,C,D,E",IF(AND('3. Skupina podniků'!E12="Ne",'3. Skupina podniků'!E14="Ne",'3. Skupina podniků'!E15="Ne"),"kritéria C,D,E")))))))))</f>
        <v>kritéria A,B,C,D,E</v>
      </c>
      <c r="E253" s="468"/>
      <c r="F253"/>
      <c r="O253" s="242" t="str">
        <f>IF(W251="ANO","Rok N",T159)</f>
        <v>Chyba v části I.</v>
      </c>
      <c r="S253"/>
    </row>
    <row r="254" spans="1:33" ht="16.5" thickBot="1" x14ac:dyDescent="0.3">
      <c r="F254"/>
      <c r="S254"/>
      <c r="W254" s="243" t="str">
        <f>IF(E279="NERELEVANTNÍ","NE","ANO")</f>
        <v>ANO</v>
      </c>
    </row>
    <row r="255" spans="1:33" ht="16.5" customHeight="1" x14ac:dyDescent="0.25">
      <c r="B255" s="552" t="s">
        <v>111</v>
      </c>
      <c r="C255" s="639" t="s">
        <v>61</v>
      </c>
      <c r="D255" s="641"/>
      <c r="E255" s="28" t="str">
        <f>IF(OR(D253="kritéria A,C,D,E",D253="kritéria A,C,D",D253="kritéria A,B,C,D",D253="kritéria A,B,C,D,E"),"RELEVANTNÍ","NERELEVANTNÍ")</f>
        <v>RELEVANTNÍ</v>
      </c>
      <c r="F255"/>
      <c r="O255" s="231" t="str">
        <f>IF(AND(R212=1,S212=1),Výpočty!B62,'3. Skupina podniků'!O253)</f>
        <v>Chyba v části I.</v>
      </c>
      <c r="S255"/>
      <c r="W255" s="244" t="s">
        <v>454</v>
      </c>
    </row>
    <row r="256" spans="1:33" ht="16.5" customHeight="1" thickBot="1" x14ac:dyDescent="0.3">
      <c r="B256" s="553"/>
      <c r="C256" s="759"/>
      <c r="D256" s="760"/>
      <c r="E256" s="33" t="str">
        <f>O255</f>
        <v>Chyba v části I.</v>
      </c>
      <c r="F256" s="245"/>
    </row>
    <row r="257" spans="2:37" x14ac:dyDescent="0.25">
      <c r="B257" s="18" t="s">
        <v>15</v>
      </c>
      <c r="C257" s="761" t="s">
        <v>49</v>
      </c>
      <c r="D257" s="762"/>
      <c r="E257" s="246">
        <f>E64</f>
        <v>0</v>
      </c>
      <c r="F257"/>
      <c r="O257" s="247" t="s">
        <v>502</v>
      </c>
      <c r="W257" s="243" t="str">
        <f>IF(AND(W251="ANO",W254="ANO"),"ANO","NE")</f>
        <v>NE</v>
      </c>
    </row>
    <row r="258" spans="2:37" ht="16.5" thickBot="1" x14ac:dyDescent="0.3">
      <c r="B258" s="18" t="s">
        <v>30</v>
      </c>
      <c r="C258" s="665" t="s">
        <v>49</v>
      </c>
      <c r="D258" s="666"/>
      <c r="E258" s="246">
        <f>F64</f>
        <v>0</v>
      </c>
      <c r="F258"/>
      <c r="O258" s="248" t="e">
        <f>IF(W251="ANO","Rok N-1",E256-1)</f>
        <v>#VALUE!</v>
      </c>
      <c r="W258" s="244" t="s">
        <v>455</v>
      </c>
    </row>
    <row r="259" spans="2:37" x14ac:dyDescent="0.25">
      <c r="B259" s="18" t="s">
        <v>72</v>
      </c>
      <c r="C259" s="665" t="s">
        <v>49</v>
      </c>
      <c r="D259" s="666"/>
      <c r="E259" s="246">
        <f>G64</f>
        <v>0</v>
      </c>
      <c r="F259"/>
    </row>
    <row r="260" spans="2:37" ht="16.5" thickBot="1" x14ac:dyDescent="0.3">
      <c r="B260" s="475" t="s">
        <v>14</v>
      </c>
      <c r="C260" s="476"/>
      <c r="D260" s="476"/>
      <c r="E260" s="25" t="str">
        <f>IF(E257&lt;((E258+E259)/2),"Ano","Ne")</f>
        <v>Ne</v>
      </c>
      <c r="F260"/>
      <c r="O260" s="229" t="e">
        <f>IF(AND(R212=1,S212=1),Výpočty!C63,'3. Skupina podniků'!O258)</f>
        <v>#VALUE!</v>
      </c>
      <c r="W260" s="243" t="str">
        <f>IF(OR(S214="ANO",W257="ANO"),"1","0")</f>
        <v>0</v>
      </c>
    </row>
    <row r="261" spans="2:37" ht="16.5" thickBot="1" x14ac:dyDescent="0.3">
      <c r="B261" s="12"/>
      <c r="C261" s="12"/>
      <c r="D261" s="15"/>
      <c r="E261" s="21"/>
      <c r="F261"/>
      <c r="W261" s="244" t="s">
        <v>473</v>
      </c>
    </row>
    <row r="262" spans="2:37" ht="16.5" customHeight="1" x14ac:dyDescent="0.25">
      <c r="B262" s="552" t="s">
        <v>110</v>
      </c>
      <c r="C262" s="639" t="s">
        <v>61</v>
      </c>
      <c r="D262" s="641"/>
      <c r="E262" s="28" t="str">
        <f>IF(OR(D253="kritéria B,C,D,E",D253="kritéria B,C,D",D253="kritéria A,B,C,D",D253="kritéria A,B,C,D,E"),"RELEVANTNÍ","NERELEVANTNÍ")</f>
        <v>RELEVANTNÍ</v>
      </c>
      <c r="F262"/>
    </row>
    <row r="263" spans="2:37" ht="16.5" customHeight="1" x14ac:dyDescent="0.25">
      <c r="B263" s="553"/>
      <c r="C263" s="759"/>
      <c r="D263" s="760"/>
      <c r="E263" s="33" t="str">
        <f>O255</f>
        <v>Chyba v části I.</v>
      </c>
      <c r="F263"/>
      <c r="W263" s="243">
        <f>S214+W260</f>
        <v>0</v>
      </c>
    </row>
    <row r="264" spans="2:37" x14ac:dyDescent="0.25">
      <c r="B264" s="18" t="s">
        <v>15</v>
      </c>
      <c r="C264" s="665" t="s">
        <v>155</v>
      </c>
      <c r="D264" s="666"/>
      <c r="E264" s="246">
        <f>E138</f>
        <v>0</v>
      </c>
      <c r="F264"/>
      <c r="W264" s="244" t="s">
        <v>480</v>
      </c>
    </row>
    <row r="265" spans="2:37" x14ac:dyDescent="0.25">
      <c r="B265" s="18" t="s">
        <v>10</v>
      </c>
      <c r="C265" s="665" t="s">
        <v>49</v>
      </c>
      <c r="D265" s="666"/>
      <c r="E265" s="246">
        <f>H138</f>
        <v>0</v>
      </c>
      <c r="F265"/>
    </row>
    <row r="266" spans="2:37" x14ac:dyDescent="0.25">
      <c r="B266" s="18" t="s">
        <v>12</v>
      </c>
      <c r="C266" s="665" t="s">
        <v>179</v>
      </c>
      <c r="D266" s="666"/>
      <c r="E266" s="246">
        <f>I138</f>
        <v>0</v>
      </c>
      <c r="F266"/>
      <c r="W266" s="249" t="str">
        <f>IF(W263=0,"NE",(IF(W263=1,"ANO","ANO")))</f>
        <v>NE</v>
      </c>
    </row>
    <row r="267" spans="2:37" ht="16.5" thickBot="1" x14ac:dyDescent="0.3">
      <c r="B267" s="475" t="s">
        <v>17</v>
      </c>
      <c r="C267" s="476"/>
      <c r="D267" s="476"/>
      <c r="E267" s="25" t="str">
        <f>IF(AND((E265+E266)&gt;0,E264&gt;0),"Ne",(IF((ABS(E265+E266))&gt;((E264-(E265+E266))/2),"Ano","Ne")))</f>
        <v>Ne</v>
      </c>
      <c r="F267"/>
      <c r="W267" s="244" t="s">
        <v>479</v>
      </c>
    </row>
    <row r="268" spans="2:37" ht="16.5" thickBot="1" x14ac:dyDescent="0.3">
      <c r="B268" s="236"/>
      <c r="C268" s="236"/>
      <c r="D268" s="236"/>
      <c r="E268" s="21"/>
      <c r="F268" s="155"/>
    </row>
    <row r="269" spans="2:37" ht="33" customHeight="1" x14ac:dyDescent="0.25">
      <c r="B269" s="22" t="s">
        <v>102</v>
      </c>
      <c r="C269" s="432" t="s">
        <v>61</v>
      </c>
      <c r="D269" s="664"/>
      <c r="E269" s="28" t="s">
        <v>46</v>
      </c>
      <c r="F269" s="250"/>
    </row>
    <row r="270" spans="2:37" ht="15.75" customHeight="1" x14ac:dyDescent="0.25">
      <c r="B270" s="18" t="s">
        <v>18</v>
      </c>
      <c r="C270" s="554" t="s">
        <v>63</v>
      </c>
      <c r="D270" s="555"/>
      <c r="E270" s="251" t="str">
        <f>IF(F270="",AK270,"Předchozí list!")</f>
        <v>Předchozí list!</v>
      </c>
      <c r="F270" s="252" t="str">
        <f>IF(AND('2. Účetnictví'!F41="Vyberte variantu",'2. Jednoduché účetnictví '!F30="Vyberte variantu",'2. Daňová evidence'!F30="Vyberte variantu",'2. Paušální (výdaje, daň)'!F30="Vyberte variantu"),"Vyplňte na listu, kde je testován pouze ŽADATEL BEZ SKUPINY !","")</f>
        <v>Vyplňte na listu, kde je testován pouze ŽADATEL BEZ SKUPINY !</v>
      </c>
      <c r="G270" s="154"/>
      <c r="AK270" s="251" t="str">
        <f>IF(OR('2. Účetnictví'!F41="Ano",'2. Jednoduché účetnictví '!F30="Ano",'2. Daňová evidence'!F30="Ano",'2. Paušální (výdaje, daň)'!F30="Ano"),"Ano","Ne")</f>
        <v>Ne</v>
      </c>
    </row>
    <row r="271" spans="2:37" x14ac:dyDescent="0.25">
      <c r="B271" s="18" t="s">
        <v>175</v>
      </c>
      <c r="C271" s="554" t="s">
        <v>69</v>
      </c>
      <c r="D271" s="555"/>
      <c r="E271" s="251" t="str">
        <f>IF(F271="",AK271,"Předchozí list!")</f>
        <v>Předchozí list!</v>
      </c>
      <c r="F271" s="252" t="str">
        <f>IF(AND('2. Účetnictví'!F42="Vyberte variantu",'2. Jednoduché účetnictví '!F31="Vyberte variantu",'2. Daňová evidence'!F31="Vyberte variantu",'2. Paušální (výdaje, daň)'!F31="Vyberte variantu"),"Vyplňte na listu, kde je testován pouze ŽADATEL BEZ SKUPINY !","")</f>
        <v>Vyplňte na listu, kde je testován pouze ŽADATEL BEZ SKUPINY !</v>
      </c>
      <c r="AK271" s="251" t="str">
        <f>IF(OR('2. Účetnictví'!F42="Ano",'2. Jednoduché účetnictví '!F31="Ano",'2. Daňová evidence'!F31="Ano",'2. Paušální (výdaje, daň)'!F31="Ano"),"Ano","Ne")</f>
        <v>Ne</v>
      </c>
    </row>
    <row r="272" spans="2:37" ht="16.5" thickBot="1" x14ac:dyDescent="0.3">
      <c r="B272" s="556" t="s">
        <v>19</v>
      </c>
      <c r="C272" s="557"/>
      <c r="D272" s="558"/>
      <c r="E272" s="25" t="str">
        <f>IF(OR(E270="Ano",E271="Ano"),"Ano","Ne")</f>
        <v>Ne</v>
      </c>
      <c r="F272" s="250"/>
      <c r="H272" s="253"/>
    </row>
    <row r="273" spans="2:37" ht="16.5" thickBot="1" x14ac:dyDescent="0.3">
      <c r="B273" s="236"/>
      <c r="C273" s="236"/>
      <c r="D273" s="236"/>
      <c r="E273" s="21"/>
      <c r="F273" s="250"/>
    </row>
    <row r="274" spans="2:37" ht="33" customHeight="1" x14ac:dyDescent="0.25">
      <c r="B274" s="22" t="s">
        <v>103</v>
      </c>
      <c r="C274" s="432" t="s">
        <v>61</v>
      </c>
      <c r="D274" s="664"/>
      <c r="E274" s="254" t="s">
        <v>46</v>
      </c>
      <c r="F274" s="250"/>
    </row>
    <row r="275" spans="2:37" ht="31.5" customHeight="1" x14ac:dyDescent="0.25">
      <c r="B275" s="18" t="s">
        <v>463</v>
      </c>
      <c r="C275" s="474" t="s">
        <v>69</v>
      </c>
      <c r="D275" s="474"/>
      <c r="E275" s="251" t="str">
        <f>IF(F275="",AK275,"Předchozí list!")</f>
        <v>Předchozí list!</v>
      </c>
      <c r="F275" s="250" t="str">
        <f>IF(AND('2. Účetnictví'!F46="Vyberte variantu",'2. Jednoduché účetnictví '!F35="Vyberte variantu",'2. Daňová evidence'!F35="Vyberte variantu",'2. Paušální (výdaje, daň)'!F35="Vyberte variantu"),"Vyplňte na listu, kde je testován pouze ŽADATEL BEZ SKUPINY !","")</f>
        <v>Vyplňte na listu, kde je testován pouze ŽADATEL BEZ SKUPINY !</v>
      </c>
      <c r="AK275" s="251" t="str">
        <f>IF(OR('2. Účetnictví'!F46="Ano",'2. Jednoduché účetnictví '!F35="Ano",'2. Daňová evidence'!F35="Ano",'2. Paušální (výdaje, daň)'!F35="Ano"),"Ano","Ne")</f>
        <v>Ne</v>
      </c>
    </row>
    <row r="276" spans="2:37" ht="28.5" x14ac:dyDescent="0.25">
      <c r="B276" s="18" t="s">
        <v>176</v>
      </c>
      <c r="C276" s="474" t="s">
        <v>69</v>
      </c>
      <c r="D276" s="474"/>
      <c r="E276" s="251" t="str">
        <f>IF(F276="",AK276,"Předchozí list!")</f>
        <v>Předchozí list!</v>
      </c>
      <c r="F276" s="255" t="str">
        <f>IF(AND('2. Účetnictví'!F47="Vyberte variantu",'2. Jednoduché účetnictví '!F36="Vyberte variantu",'2. Daňová evidence'!F36="Vyberte variantu",'2. Paušální (výdaje, daň)'!F36="Vyberte variantu"),"Vyplňte na listu, kde je testován pouze ŽADATEL BEZ SKUPINY !","")</f>
        <v>Vyplňte na listu, kde je testován pouze ŽADATEL BEZ SKUPINY !</v>
      </c>
      <c r="K276"/>
      <c r="AK276" s="251" t="str">
        <f>IF(OR('2. Účetnictví'!F47="Ano",'2. Jednoduché účetnictví '!F36="Ano",'2. Daňová evidence'!F36="Ano",'2. Paušální (výdaje, daň)'!F36="Ano"),"Ano","Ne")</f>
        <v>Ne</v>
      </c>
    </row>
    <row r="277" spans="2:37" ht="16.5" thickBot="1" x14ac:dyDescent="0.3">
      <c r="B277" s="556" t="s">
        <v>20</v>
      </c>
      <c r="C277" s="557"/>
      <c r="D277" s="558"/>
      <c r="E277" s="25" t="str">
        <f>IF(OR(E275="Ano",E276="Ano"),"Ano","Ne")</f>
        <v>Ne</v>
      </c>
      <c r="F277" s="250"/>
    </row>
    <row r="278" spans="2:37" ht="16.5" thickBot="1" x14ac:dyDescent="0.3">
      <c r="B278"/>
      <c r="C278"/>
      <c r="D278"/>
      <c r="E278"/>
      <c r="F278"/>
      <c r="H278" s="43"/>
    </row>
    <row r="279" spans="2:37" ht="33.75" customHeight="1" thickBot="1" x14ac:dyDescent="0.3">
      <c r="B279" s="661" t="s">
        <v>104</v>
      </c>
      <c r="C279" s="662"/>
      <c r="D279" s="663"/>
      <c r="E279" s="26" t="str">
        <f>IF(OR(D253="kritéria A,C,D,E",D253="kritéria B,C,D,E",D253="kritéria A,B,C,D,E",D253="kritéria C,D,E"),"RELEVANTNÍ","NERELEVANTNÍ")</f>
        <v>RELEVANTNÍ</v>
      </c>
      <c r="F279" s="233" t="str">
        <f>IF(E279="NERELEVANTNÍ"," Nerelevantní, doplní se nuly.","")</f>
        <v/>
      </c>
      <c r="H279" s="773" t="s">
        <v>481</v>
      </c>
      <c r="I279" s="774"/>
      <c r="J279" s="774"/>
      <c r="K279" s="256" t="str">
        <f>IF(E11="Ano","NEPOČÍTÁ SE",IF(S212=0,"NEPOČÍTÁ SE",IF(S212=1,"NEPOČÍTÁ SE","POČÍTÁ SE")))</f>
        <v>NEPOČÍTÁ SE</v>
      </c>
    </row>
    <row r="280" spans="2:37" ht="6.75" customHeight="1" thickBot="1" x14ac:dyDescent="0.3">
      <c r="B280" s="12"/>
      <c r="C280" s="12"/>
      <c r="D280" s="9"/>
      <c r="E280" s="21"/>
      <c r="F280" s="21"/>
    </row>
    <row r="281" spans="2:37" ht="33.75" customHeight="1" x14ac:dyDescent="0.25">
      <c r="B281" s="22" t="s">
        <v>105</v>
      </c>
      <c r="C281" s="432" t="s">
        <v>61</v>
      </c>
      <c r="D281" s="664"/>
      <c r="E281" s="23" t="str">
        <f>O255</f>
        <v>Chyba v části I.</v>
      </c>
      <c r="F281" s="257" t="e">
        <f>O260</f>
        <v>#VALUE!</v>
      </c>
      <c r="H281" s="258" t="s">
        <v>456</v>
      </c>
      <c r="I281" s="259" t="str">
        <f>U216</f>
        <v xml:space="preserve">Výhradně rok </v>
      </c>
    </row>
    <row r="282" spans="2:37" x14ac:dyDescent="0.25">
      <c r="B282" s="18" t="s">
        <v>15</v>
      </c>
      <c r="C282" s="665" t="s">
        <v>155</v>
      </c>
      <c r="D282" s="666"/>
      <c r="E282" s="260">
        <f>IF(E279="RELEVANTNÍ",E64+E138+E212,)</f>
        <v>0</v>
      </c>
      <c r="F282" s="261">
        <f>IF(E279="RELEVANTNÍ",E99+E173+E247,)</f>
        <v>0</v>
      </c>
      <c r="H282" s="262">
        <f>IF(E11="Ano",0,IF(S212=0,0,IF(S212=1,0,E64+E138+E212)))</f>
        <v>0</v>
      </c>
      <c r="I282" s="263">
        <f>IF(E11="Ano",0,IF(S212=0,0,IF(S212=1,0,Y251)))</f>
        <v>0</v>
      </c>
      <c r="W282" s="243">
        <f>IF(E281=T28,1,0)</f>
        <v>1</v>
      </c>
    </row>
    <row r="283" spans="2:37" x14ac:dyDescent="0.25">
      <c r="B283" s="18" t="s">
        <v>99</v>
      </c>
      <c r="C283" s="665" t="s">
        <v>155</v>
      </c>
      <c r="D283" s="666"/>
      <c r="E283" s="260">
        <f>IF(E279="RELEVANTNÍ",J64+J138+J212,)</f>
        <v>0</v>
      </c>
      <c r="F283" s="261">
        <f>IF(E279="RELEVANTNÍ",J99+J173+J247,)</f>
        <v>0</v>
      </c>
      <c r="H283" s="262">
        <f>IF(E11="Ano",0,IF(S212=0,0,IF(S212=1,0,J64+J138+J212)))</f>
        <v>0</v>
      </c>
      <c r="I283" s="263">
        <f>IF(E11="Ano",0,IF(S212=0,0,IF(S212=1,0,AA251)))</f>
        <v>0</v>
      </c>
      <c r="W283" s="244" t="s">
        <v>457</v>
      </c>
    </row>
    <row r="284" spans="2:37" x14ac:dyDescent="0.25">
      <c r="B284" s="434" t="s">
        <v>88</v>
      </c>
      <c r="C284" s="435"/>
      <c r="D284" s="435"/>
      <c r="E284" s="264" t="str">
        <f>IF((E282)=0,"NR",(E283/E282))</f>
        <v>NR</v>
      </c>
      <c r="F284" s="265" t="str">
        <f>IF((F282)=0,"NR",(F283/F282))</f>
        <v>NR</v>
      </c>
      <c r="H284" s="266" t="str">
        <f>IF((H282)=0,"NR",(H283/H282))</f>
        <v>NR</v>
      </c>
      <c r="I284" s="267" t="str">
        <f>IF((I282)=0,"NR",(I283/I282))</f>
        <v>NR</v>
      </c>
      <c r="J284" s="43"/>
    </row>
    <row r="285" spans="2:37" ht="16.5" thickBot="1" x14ac:dyDescent="0.3">
      <c r="B285" s="475" t="s">
        <v>22</v>
      </c>
      <c r="C285" s="476"/>
      <c r="D285" s="476"/>
      <c r="E285" s="268" t="str">
        <f>IF((E282)="0","Ano",IF((E284)&lt;0,"Chyba",IF(E284&gt;7.5,"Ano","Ne")))</f>
        <v>Ano</v>
      </c>
      <c r="F285" s="269" t="str">
        <f>IF((F282)="0","Ano",IF((F284)&lt;0,"Chyba",IF(F284&gt;7.5,"Ano","Ne")))</f>
        <v>Ano</v>
      </c>
      <c r="H285" s="270" t="str">
        <f>IF((H282)="0","Ano",IF((H284)&lt;0,"Chyba",IF(H284&gt;7.5,"Ano","Ne")))</f>
        <v>Ano</v>
      </c>
      <c r="I285" s="271" t="str">
        <f>IF((I282)="0","Ano",IF((I284)&lt;0,"Chyba",IF(I284&gt;7.5,"Ano","Ne")))</f>
        <v>Ano</v>
      </c>
      <c r="J285" s="43"/>
    </row>
    <row r="286" spans="2:37" ht="6.75" customHeight="1" thickBot="1" x14ac:dyDescent="0.3">
      <c r="B286" s="12"/>
      <c r="C286" s="12"/>
      <c r="D286" s="9"/>
      <c r="E286" s="21"/>
      <c r="F286" s="21"/>
    </row>
    <row r="287" spans="2:37" ht="33.75" customHeight="1" x14ac:dyDescent="0.25">
      <c r="B287" s="22" t="s">
        <v>106</v>
      </c>
      <c r="C287" s="432" t="s">
        <v>61</v>
      </c>
      <c r="D287" s="664"/>
      <c r="E287" s="23" t="str">
        <f>O255</f>
        <v>Chyba v části I.</v>
      </c>
      <c r="F287" s="24" t="e">
        <f>O260</f>
        <v>#VALUE!</v>
      </c>
      <c r="H287" s="258" t="s">
        <v>456</v>
      </c>
      <c r="I287" s="259" t="str">
        <f>I281</f>
        <v xml:space="preserve">Výhradně rok </v>
      </c>
    </row>
    <row r="288" spans="2:37" x14ac:dyDescent="0.25">
      <c r="B288" s="18" t="s">
        <v>23</v>
      </c>
      <c r="C288" s="665" t="s">
        <v>156</v>
      </c>
      <c r="D288" s="666"/>
      <c r="E288" s="260">
        <f>IF(E279="RELEVANTNÍ",K64+K138+K212,)</f>
        <v>0</v>
      </c>
      <c r="F288" s="261">
        <f>IF(E279="RELEVANTNÍ",K99+K173+K247,)</f>
        <v>0</v>
      </c>
      <c r="H288" s="262">
        <f>IF(E11="Ano",0,IF(S212=0,0,IF(S212=1,0,K64+K138+K212)))</f>
        <v>0</v>
      </c>
      <c r="I288" s="263">
        <f>IF(E11="Ano",0,IF(S212=0,0,IF(S212=1,0,AC251)))</f>
        <v>0</v>
      </c>
    </row>
    <row r="289" spans="2:23" x14ac:dyDescent="0.25">
      <c r="B289" s="18" t="s">
        <v>25</v>
      </c>
      <c r="C289" s="665" t="s">
        <v>156</v>
      </c>
      <c r="D289" s="666"/>
      <c r="E289" s="260">
        <f>IF(E279="RELEVANTNÍ",L64+L138+L212,)</f>
        <v>0</v>
      </c>
      <c r="F289" s="261">
        <f>IF(E279="RELEVANTNÍ",L99+L173+L247,)</f>
        <v>0</v>
      </c>
      <c r="H289" s="262">
        <f>IF(E11="Ano",0,IF(S212=0,0,IF(S212=1,0,L64+L138+L212)))</f>
        <v>0</v>
      </c>
      <c r="I289" s="263">
        <f>IF(E11="Ano",0,IF(S212=0,0,IF(S212=1,0,AE251)))</f>
        <v>0</v>
      </c>
    </row>
    <row r="290" spans="2:23" x14ac:dyDescent="0.25">
      <c r="B290" s="18" t="s">
        <v>27</v>
      </c>
      <c r="C290" s="665" t="s">
        <v>156</v>
      </c>
      <c r="D290" s="666"/>
      <c r="E290" s="260">
        <f>IF(E279="RELEVANTNÍ",M64+M138+M212,)</f>
        <v>0</v>
      </c>
      <c r="F290" s="261">
        <f>IF(E279="RELEVANTNÍ",M99+M173+M247,)</f>
        <v>0</v>
      </c>
      <c r="H290" s="262">
        <f>IF(E11="Ano",0,IF(S212=0,0,IF(S212=1,0,M64+M138+M212)))</f>
        <v>0</v>
      </c>
      <c r="I290" s="263">
        <f>IF(E11="Ano",0,IF(S212=0,0,IF(S212=1,0,AG251)))</f>
        <v>0</v>
      </c>
    </row>
    <row r="291" spans="2:23" x14ac:dyDescent="0.25">
      <c r="B291" s="434" t="s">
        <v>89</v>
      </c>
      <c r="C291" s="435"/>
      <c r="D291" s="435"/>
      <c r="E291" s="264" t="str">
        <f>IF(E289=0,"NR",(E288+E289+E290)/E289)</f>
        <v>NR</v>
      </c>
      <c r="F291" s="265" t="str">
        <f>IF(F289=0,"NR",(F288+F289+F290)/F289)</f>
        <v>NR</v>
      </c>
      <c r="H291" s="272" t="str">
        <f>IF(H289=0,"NR",(H288+H289+H290)/H289)</f>
        <v>NR</v>
      </c>
      <c r="I291" s="273" t="str">
        <f>IF(I289=0,"NR",(I288+I289+I290)/I289)</f>
        <v>NR</v>
      </c>
    </row>
    <row r="292" spans="2:23" ht="16.5" thickBot="1" x14ac:dyDescent="0.3">
      <c r="B292" s="475" t="s">
        <v>107</v>
      </c>
      <c r="C292" s="476"/>
      <c r="D292" s="476"/>
      <c r="E292" s="268" t="str">
        <f>IF((E291)="NR","NR",IF((E291)&lt;1,"Ano","Ne"))</f>
        <v>NR</v>
      </c>
      <c r="F292" s="269" t="str">
        <f>IF((F291)="NR","NR",IF((F291)&lt;1,"Ano","Ne"))</f>
        <v>NR</v>
      </c>
      <c r="H292" s="270" t="str">
        <f>IF((H291)="NR","NR",IF((H291)&lt;1,"Ano","Ne"))</f>
        <v>NR</v>
      </c>
      <c r="I292" s="271" t="str">
        <f>IF((I291)="NR","NR",IF((I291)&lt;1,"Ano","Ne"))</f>
        <v>NR</v>
      </c>
    </row>
    <row r="293" spans="2:23" ht="6.75" customHeight="1" thickBot="1" x14ac:dyDescent="0.3"/>
    <row r="294" spans="2:23" ht="33.75" customHeight="1" thickBot="1" x14ac:dyDescent="0.3">
      <c r="B294" s="776" t="s">
        <v>29</v>
      </c>
      <c r="C294" s="777"/>
      <c r="D294" s="777"/>
      <c r="E294" s="14" t="str">
        <f>IF(AND(E285="ANO",F285="Ano",E292="Ano",F292="Ano"),"Ano","Ne")</f>
        <v>Ne</v>
      </c>
      <c r="H294" s="274" t="str">
        <f>IF(AND(H285="ANO",I285="Ano",H292="Ano",I292="Ano"),"Ano","Ne")</f>
        <v>Ne</v>
      </c>
    </row>
    <row r="295" spans="2:23" ht="16.5" thickBot="1" x14ac:dyDescent="0.3">
      <c r="B295"/>
      <c r="C295"/>
      <c r="D295"/>
      <c r="E295"/>
      <c r="F295"/>
    </row>
    <row r="296" spans="2:23" ht="55.5" customHeight="1" thickBot="1" x14ac:dyDescent="0.3">
      <c r="B296" s="492" t="s">
        <v>427</v>
      </c>
      <c r="C296" s="493"/>
      <c r="D296" s="494"/>
      <c r="E296" s="16" t="str">
        <f>IF(OR(E260="ANO",E267="Ano",E272="Ano",E277="Ano",E294="Ano",H294="Ano"),"Ano","Ne")</f>
        <v>Ne</v>
      </c>
      <c r="F296" s="43" t="s">
        <v>485</v>
      </c>
    </row>
    <row r="297" spans="2:23" x14ac:dyDescent="0.25">
      <c r="W297" s="244" t="s">
        <v>461</v>
      </c>
    </row>
    <row r="298" spans="2:23" ht="51.75" customHeight="1" x14ac:dyDescent="0.25">
      <c r="B298" s="775" t="str">
        <f>IF(H294="Ano",W298,"")</f>
        <v/>
      </c>
      <c r="C298" s="775"/>
      <c r="D298" s="775"/>
      <c r="E298" s="775"/>
      <c r="L298" s="275"/>
      <c r="W298" s="232" t="s">
        <v>462</v>
      </c>
    </row>
    <row r="299" spans="2:23" ht="6" customHeight="1" x14ac:dyDescent="0.25"/>
    <row r="300" spans="2:23" x14ac:dyDescent="0.25">
      <c r="B300" s="230" t="str">
        <f>IF(AND(E11="Nevím",O249=1),"Krok 10:","")</f>
        <v/>
      </c>
    </row>
    <row r="301" spans="2:23" ht="45" customHeight="1" x14ac:dyDescent="0.25">
      <c r="B301" s="772" t="str">
        <f>IF(AND(E11="Nevím",O249=1),"Zjistěte velikost podnikatele pomocí Přílohy MSP, pokud bude podnikatel MSP, písmeno E se vůbec nepoužije, pokud bude podnikatel VELKÝ, je PvO.","")</f>
        <v/>
      </c>
      <c r="C301" s="772"/>
      <c r="D301" s="772"/>
      <c r="E301" s="772"/>
      <c r="F301" s="276"/>
      <c r="G301" s="276"/>
    </row>
  </sheetData>
  <sheetProtection algorithmName="SHA-512" hashValue="5ghIVB0k/2u0cha59iyzVp65T709JTubkXiFu5xCROGAH0En7ML8iRSZe+4n8ZvPmrKXeXEnW96NWy/TKAqwOg==" saltValue="RicuFf+I+iFuYHzxa2zh/A==" spinCount="100000" sheet="1" selectLockedCells="1"/>
  <mergeCells count="320">
    <mergeCell ref="C168:D168"/>
    <mergeCell ref="C163:D163"/>
    <mergeCell ref="C224:D224"/>
    <mergeCell ref="C226:D226"/>
    <mergeCell ref="C228:D228"/>
    <mergeCell ref="C219:D219"/>
    <mergeCell ref="C221:D221"/>
    <mergeCell ref="C227:D227"/>
    <mergeCell ref="C169:D169"/>
    <mergeCell ref="C170:D170"/>
    <mergeCell ref="C171:D171"/>
    <mergeCell ref="C172:D172"/>
    <mergeCell ref="C198:D198"/>
    <mergeCell ref="C199:D199"/>
    <mergeCell ref="C200:D200"/>
    <mergeCell ref="C201:D201"/>
    <mergeCell ref="C202:D202"/>
    <mergeCell ref="C217:D217"/>
    <mergeCell ref="C97:D97"/>
    <mergeCell ref="C98:D98"/>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85:D85"/>
    <mergeCell ref="C86:D86"/>
    <mergeCell ref="C87:D87"/>
    <mergeCell ref="C88:D88"/>
    <mergeCell ref="C89:D89"/>
    <mergeCell ref="C93:D93"/>
    <mergeCell ref="I19:M19"/>
    <mergeCell ref="I20:M25"/>
    <mergeCell ref="B301:E301"/>
    <mergeCell ref="H279:J279"/>
    <mergeCell ref="B298:E298"/>
    <mergeCell ref="C269:D269"/>
    <mergeCell ref="C270:D270"/>
    <mergeCell ref="C271:D271"/>
    <mergeCell ref="B272:D272"/>
    <mergeCell ref="C274:D274"/>
    <mergeCell ref="C275:D275"/>
    <mergeCell ref="C276:D276"/>
    <mergeCell ref="B277:D277"/>
    <mergeCell ref="B294:D294"/>
    <mergeCell ref="B296:D296"/>
    <mergeCell ref="B291:D291"/>
    <mergeCell ref="C282:D282"/>
    <mergeCell ref="C283:D283"/>
    <mergeCell ref="B284:D284"/>
    <mergeCell ref="B285:D285"/>
    <mergeCell ref="C94:D94"/>
    <mergeCell ref="C95:D95"/>
    <mergeCell ref="C96:D96"/>
    <mergeCell ref="C287:D287"/>
    <mergeCell ref="C288:D288"/>
    <mergeCell ref="C225:D225"/>
    <mergeCell ref="C229:D229"/>
    <mergeCell ref="B102:B104"/>
    <mergeCell ref="B64:D64"/>
    <mergeCell ref="C34:D34"/>
    <mergeCell ref="C36:D36"/>
    <mergeCell ref="C38:D38"/>
    <mergeCell ref="C230:D230"/>
    <mergeCell ref="C258:D258"/>
    <mergeCell ref="B253:C253"/>
    <mergeCell ref="D253:E253"/>
    <mergeCell ref="B255:B256"/>
    <mergeCell ref="C255:D256"/>
    <mergeCell ref="C257:D257"/>
    <mergeCell ref="B247:D247"/>
    <mergeCell ref="B267:D267"/>
    <mergeCell ref="C259:D259"/>
    <mergeCell ref="B260:D260"/>
    <mergeCell ref="B262:B263"/>
    <mergeCell ref="C262:D263"/>
    <mergeCell ref="C237:D237"/>
    <mergeCell ref="C238:D238"/>
    <mergeCell ref="C112:D112"/>
    <mergeCell ref="B14:D14"/>
    <mergeCell ref="B15:D15"/>
    <mergeCell ref="B17:D17"/>
    <mergeCell ref="B16:C16"/>
    <mergeCell ref="E16:G16"/>
    <mergeCell ref="C158:D158"/>
    <mergeCell ref="B18:G18"/>
    <mergeCell ref="E31:I31"/>
    <mergeCell ref="C43:D43"/>
    <mergeCell ref="C45:D45"/>
    <mergeCell ref="C70:D70"/>
    <mergeCell ref="C72:D72"/>
    <mergeCell ref="C74:D74"/>
    <mergeCell ref="C76:D76"/>
    <mergeCell ref="C78:D78"/>
    <mergeCell ref="C80:D80"/>
    <mergeCell ref="C111:D111"/>
    <mergeCell ref="C113:D113"/>
    <mergeCell ref="C115:D115"/>
    <mergeCell ref="C117:D117"/>
    <mergeCell ref="C119:D119"/>
    <mergeCell ref="C90:D90"/>
    <mergeCell ref="C91:D91"/>
    <mergeCell ref="C92:D92"/>
    <mergeCell ref="F217:I247"/>
    <mergeCell ref="F182:I212"/>
    <mergeCell ref="C231:D231"/>
    <mergeCell ref="C232:D232"/>
    <mergeCell ref="C182:D182"/>
    <mergeCell ref="C184:D184"/>
    <mergeCell ref="C194:D194"/>
    <mergeCell ref="C186:D186"/>
    <mergeCell ref="C188:D188"/>
    <mergeCell ref="C190:D190"/>
    <mergeCell ref="C223:D223"/>
    <mergeCell ref="C203:D203"/>
    <mergeCell ref="C204:D204"/>
    <mergeCell ref="C205:D205"/>
    <mergeCell ref="C206:D206"/>
    <mergeCell ref="C207:D207"/>
    <mergeCell ref="C208:D208"/>
    <mergeCell ref="C209:D209"/>
    <mergeCell ref="C210:D210"/>
    <mergeCell ref="C211:D211"/>
    <mergeCell ref="C233:D233"/>
    <mergeCell ref="C234:D234"/>
    <mergeCell ref="C235:D235"/>
    <mergeCell ref="C236:D236"/>
    <mergeCell ref="K179:M179"/>
    <mergeCell ref="E181:M181"/>
    <mergeCell ref="E214:J214"/>
    <mergeCell ref="K214:M214"/>
    <mergeCell ref="E216:M216"/>
    <mergeCell ref="B212:D212"/>
    <mergeCell ref="B176:C178"/>
    <mergeCell ref="D176:M176"/>
    <mergeCell ref="D178:M178"/>
    <mergeCell ref="C195:D195"/>
    <mergeCell ref="C196:D196"/>
    <mergeCell ref="C197:D197"/>
    <mergeCell ref="C191:D191"/>
    <mergeCell ref="B179:B180"/>
    <mergeCell ref="C179:D180"/>
    <mergeCell ref="B181:D181"/>
    <mergeCell ref="C116:D116"/>
    <mergeCell ref="C118:D118"/>
    <mergeCell ref="C120:D120"/>
    <mergeCell ref="C121:D121"/>
    <mergeCell ref="C153:D153"/>
    <mergeCell ref="C155:D155"/>
    <mergeCell ref="C109:D109"/>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43:D143"/>
    <mergeCell ref="C145:D145"/>
    <mergeCell ref="C147:D147"/>
    <mergeCell ref="B8:D8"/>
    <mergeCell ref="E33:M33"/>
    <mergeCell ref="E66:J66"/>
    <mergeCell ref="C46:D46"/>
    <mergeCell ref="C47:D47"/>
    <mergeCell ref="C48:D48"/>
    <mergeCell ref="C31:D32"/>
    <mergeCell ref="B31:B32"/>
    <mergeCell ref="B33:D33"/>
    <mergeCell ref="B29:B30"/>
    <mergeCell ref="C29:M30"/>
    <mergeCell ref="K31:M31"/>
    <mergeCell ref="K66:M66"/>
    <mergeCell ref="C39:D39"/>
    <mergeCell ref="C41:D41"/>
    <mergeCell ref="B10:G10"/>
    <mergeCell ref="B20:G20"/>
    <mergeCell ref="B19:G19"/>
    <mergeCell ref="B21:G21"/>
    <mergeCell ref="B22:G22"/>
    <mergeCell ref="B23:G23"/>
    <mergeCell ref="B24:G24"/>
    <mergeCell ref="B25:G25"/>
    <mergeCell ref="E17:G17"/>
    <mergeCell ref="B292:D292"/>
    <mergeCell ref="B279:D279"/>
    <mergeCell ref="C281:D281"/>
    <mergeCell ref="C264:D264"/>
    <mergeCell ref="C265:D265"/>
    <mergeCell ref="C266:D266"/>
    <mergeCell ref="C289:D289"/>
    <mergeCell ref="C290:D290"/>
    <mergeCell ref="E5:G5"/>
    <mergeCell ref="B6:C6"/>
    <mergeCell ref="D6:F6"/>
    <mergeCell ref="E7:G7"/>
    <mergeCell ref="E13:G13"/>
    <mergeCell ref="E14:G14"/>
    <mergeCell ref="E11:G11"/>
    <mergeCell ref="E15:G15"/>
    <mergeCell ref="E8:G8"/>
    <mergeCell ref="E9:G9"/>
    <mergeCell ref="E12:G12"/>
    <mergeCell ref="B5:D5"/>
    <mergeCell ref="B9:D9"/>
    <mergeCell ref="B7:D7"/>
    <mergeCell ref="B11:D11"/>
    <mergeCell ref="B13:D13"/>
    <mergeCell ref="C246:D246"/>
    <mergeCell ref="AF32:AF33"/>
    <mergeCell ref="AA32:AA33"/>
    <mergeCell ref="AB32:AB33"/>
    <mergeCell ref="AC32:AC33"/>
    <mergeCell ref="AD32:AD33"/>
    <mergeCell ref="C140:D142"/>
    <mergeCell ref="H34:I64"/>
    <mergeCell ref="Q32:R32"/>
    <mergeCell ref="C65:G65"/>
    <mergeCell ref="C139:G139"/>
    <mergeCell ref="E105:I105"/>
    <mergeCell ref="C35:D35"/>
    <mergeCell ref="C37:D37"/>
    <mergeCell ref="C218:D218"/>
    <mergeCell ref="C220:D220"/>
    <mergeCell ref="C222:D222"/>
    <mergeCell ref="F69:I99"/>
    <mergeCell ref="C69:D69"/>
    <mergeCell ref="C71:D71"/>
    <mergeCell ref="C73:D73"/>
    <mergeCell ref="C75:D75"/>
    <mergeCell ref="C77:D77"/>
    <mergeCell ref="C79:D79"/>
    <mergeCell ref="Z32:Z33"/>
    <mergeCell ref="C239:D239"/>
    <mergeCell ref="C240:D240"/>
    <mergeCell ref="C241:D241"/>
    <mergeCell ref="C242:D242"/>
    <mergeCell ref="C243:D243"/>
    <mergeCell ref="C244:D244"/>
    <mergeCell ref="C245:D245"/>
    <mergeCell ref="C81:D81"/>
    <mergeCell ref="K105:M105"/>
    <mergeCell ref="E107:M107"/>
    <mergeCell ref="E140:J140"/>
    <mergeCell ref="K140:M140"/>
    <mergeCell ref="E142:M142"/>
    <mergeCell ref="B138:D138"/>
    <mergeCell ref="C105:D106"/>
    <mergeCell ref="B107:D107"/>
    <mergeCell ref="C104:M104"/>
    <mergeCell ref="B105:B106"/>
    <mergeCell ref="F108:G138"/>
    <mergeCell ref="F143:I173"/>
    <mergeCell ref="C108:D108"/>
    <mergeCell ref="C110:D110"/>
    <mergeCell ref="C114:D114"/>
    <mergeCell ref="AG32:AG33"/>
    <mergeCell ref="X32:X33"/>
    <mergeCell ref="Y32:Y33"/>
    <mergeCell ref="B140:B142"/>
    <mergeCell ref="C214:D216"/>
    <mergeCell ref="B214:B216"/>
    <mergeCell ref="B66:B68"/>
    <mergeCell ref="C66:D68"/>
    <mergeCell ref="C40:D40"/>
    <mergeCell ref="C42:D42"/>
    <mergeCell ref="C44:D44"/>
    <mergeCell ref="C49:D49"/>
    <mergeCell ref="C82:D82"/>
    <mergeCell ref="B99:D99"/>
    <mergeCell ref="C83:D83"/>
    <mergeCell ref="C84:D84"/>
    <mergeCell ref="E68:M68"/>
    <mergeCell ref="C102:M102"/>
    <mergeCell ref="C103:M103"/>
    <mergeCell ref="C122:D122"/>
    <mergeCell ref="C123:D123"/>
    <mergeCell ref="AE32:AE33"/>
    <mergeCell ref="C192:D192"/>
    <mergeCell ref="C156:D156"/>
    <mergeCell ref="C149:D149"/>
    <mergeCell ref="C151:D151"/>
    <mergeCell ref="C213:G213"/>
    <mergeCell ref="E179:I179"/>
    <mergeCell ref="C144:D144"/>
    <mergeCell ref="C146:D146"/>
    <mergeCell ref="C193:D193"/>
    <mergeCell ref="C148:D148"/>
    <mergeCell ref="C150:D150"/>
    <mergeCell ref="C152:D152"/>
    <mergeCell ref="C154:D154"/>
    <mergeCell ref="C183:D183"/>
    <mergeCell ref="C185:D185"/>
    <mergeCell ref="C187:D187"/>
    <mergeCell ref="C189:D189"/>
    <mergeCell ref="C157:D157"/>
    <mergeCell ref="C159:D159"/>
    <mergeCell ref="C160:D160"/>
    <mergeCell ref="C161:D161"/>
    <mergeCell ref="C162:D162"/>
    <mergeCell ref="C164:D164"/>
    <mergeCell ref="C165:D165"/>
    <mergeCell ref="C166:D166"/>
    <mergeCell ref="C167:D167"/>
  </mergeCells>
  <conditionalFormatting sqref="A1:A28">
    <cfRule type="containsText" dxfId="95" priority="95" operator="containsText" text="&quot;RELEVANTNÍ&quot;">
      <formula>NOT(ISERROR(SEARCH("""RELEVANTNÍ""",A1)))</formula>
    </cfRule>
    <cfRule type="beginsWith" dxfId="94" priority="94" operator="beginsWith" text="RE">
      <formula>LEFT(A1,LEN("RE"))="RE"</formula>
    </cfRule>
  </conditionalFormatting>
  <conditionalFormatting sqref="A101:A104">
    <cfRule type="containsText" dxfId="93" priority="144" operator="containsText" text="&quot;RELEVANTNÍ&quot;">
      <formula>NOT(ISERROR(SEARCH("""RELEVANTNÍ""",A101)))</formula>
    </cfRule>
    <cfRule type="beginsWith" dxfId="92" priority="143" operator="beginsWith" text="RE">
      <formula>LEFT(A101,LEN("RE"))="RE"</formula>
    </cfRule>
  </conditionalFormatting>
  <conditionalFormatting sqref="A174:A175 A297:A1048576">
    <cfRule type="beginsWith" dxfId="91" priority="178" operator="beginsWith" text="RE">
      <formula>LEFT(A174,LEN("RE"))="RE"</formula>
    </cfRule>
    <cfRule type="containsText" dxfId="90" priority="179" operator="containsText" text="&quot;RELEVANTNÍ&quot;">
      <formula>NOT(ISERROR(SEARCH("""RELEVANTNÍ""",A174)))</formula>
    </cfRule>
  </conditionalFormatting>
  <conditionalFormatting sqref="A248:A253">
    <cfRule type="beginsWith" dxfId="89" priority="73" operator="beginsWith" text="RE">
      <formula>LEFT(A248,LEN("RE"))="RE"</formula>
    </cfRule>
    <cfRule type="containsText" dxfId="88" priority="74" operator="containsText" text="&quot;RELEVANTNÍ&quot;">
      <formula>NOT(ISERROR(SEARCH("""RELEVANTNÍ""",A248)))</formula>
    </cfRule>
  </conditionalFormatting>
  <conditionalFormatting sqref="B64:D64">
    <cfRule type="expression" dxfId="87" priority="16">
      <formula>IF(AND($E$11="Ano",$E$13="Ano"),1,0)</formula>
    </cfRule>
  </conditionalFormatting>
  <conditionalFormatting sqref="B138:D138">
    <cfRule type="expression" dxfId="86" priority="13">
      <formula>IF(AND($E$11="Ano",$E$13="Ano"),1,0)</formula>
    </cfRule>
  </conditionalFormatting>
  <conditionalFormatting sqref="B212:D212">
    <cfRule type="expression" dxfId="85" priority="10">
      <formula>IF(AND($E$11="Ano",$E$13="Ano"),1,0)</formula>
    </cfRule>
  </conditionalFormatting>
  <conditionalFormatting sqref="B298:E298">
    <cfRule type="beginsWith" dxfId="84" priority="54" operator="beginsWith" text="Test">
      <formula>LEFT(B298,LEN("Test"))="Test"</formula>
    </cfRule>
  </conditionalFormatting>
  <conditionalFormatting sqref="C31:D32">
    <cfRule type="expression" dxfId="83" priority="17">
      <formula>IF(AND($E$11="Ano",$E$13="Ano"),1,0)</formula>
    </cfRule>
  </conditionalFormatting>
  <conditionalFormatting sqref="C34:D34 C35 C36:D36 C37 C38:D38 C39 C40:D40 C41 C42:D42 C43 C44:D44 C45 C46:D49 C50:C63">
    <cfRule type="expression" dxfId="82" priority="18">
      <formula>IF(AND($E$11="Ano",$E$13="Ano"),1,0)</formula>
    </cfRule>
  </conditionalFormatting>
  <conditionalFormatting sqref="C66:D68">
    <cfRule type="expression" dxfId="81" priority="52">
      <formula>IF($E$12="ANO",1,0)</formula>
    </cfRule>
  </conditionalFormatting>
  <conditionalFormatting sqref="C105:D106">
    <cfRule type="expression" dxfId="80" priority="12">
      <formula>IF(AND($E$11="Ano",$E$13="Ano"),1,0)</formula>
    </cfRule>
  </conditionalFormatting>
  <conditionalFormatting sqref="C108:D108 C109 C110:D110 C111 C112:D112 C113 C114:D114 C115 C116:D116 C117 C118:D118 C119 C120:D123 C124:C137">
    <cfRule type="expression" dxfId="79" priority="14">
      <formula>IF(AND($E$11="Ano",$E$13="Ano"),1,0)</formula>
    </cfRule>
  </conditionalFormatting>
  <conditionalFormatting sqref="C140:D142">
    <cfRule type="expression" dxfId="78" priority="51">
      <formula>IF($E$12="ANO",1,0)</formula>
    </cfRule>
  </conditionalFormatting>
  <conditionalFormatting sqref="C179:D180">
    <cfRule type="expression" dxfId="77" priority="9">
      <formula>IF(AND($E$11="Ano",$E$13="Ano"),1,0)</formula>
    </cfRule>
  </conditionalFormatting>
  <conditionalFormatting sqref="C182:D182 C183 C184:D184 C185 C186:D186 C187 C188:D188 C189 C190:D190 C191 C192:D192 C193 C194:D197 C198:C211">
    <cfRule type="expression" dxfId="76" priority="11">
      <formula>IF(AND($E$11="Ano",$E$13="Ano"),1,0)</formula>
    </cfRule>
  </conditionalFormatting>
  <conditionalFormatting sqref="C214:D216">
    <cfRule type="expression" dxfId="75" priority="49">
      <formula>IF($E$12="ANO",1,0)</formula>
    </cfRule>
  </conditionalFormatting>
  <conditionalFormatting sqref="C104:M104">
    <cfRule type="expression" dxfId="74" priority="2">
      <formula>IF($O$105="Ano",1,0)</formula>
    </cfRule>
  </conditionalFormatting>
  <conditionalFormatting sqref="D178:M178">
    <cfRule type="expression" dxfId="73" priority="1">
      <formula>IF($O$105="Ano",1,0)</formula>
    </cfRule>
  </conditionalFormatting>
  <conditionalFormatting sqref="E31 J31:M31 E32:M32">
    <cfRule type="expression" dxfId="72" priority="42">
      <formula>IF(AND($E$11="Ano",$E$13="Ano"),1,0)</formula>
    </cfRule>
  </conditionalFormatting>
  <conditionalFormatting sqref="E105 H138:M138 J173:M173">
    <cfRule type="beginsWith" dxfId="71" priority="142" operator="beginsWith" text="RE">
      <formula>LEFT(E105,LEN("RE"))="RE"</formula>
    </cfRule>
  </conditionalFormatting>
  <conditionalFormatting sqref="E105 J105:M105 E106:M107">
    <cfRule type="expression" dxfId="70" priority="40">
      <formula>IF(AND($E$11="Ano",$E$13="Ano"),1,0)</formula>
    </cfRule>
  </conditionalFormatting>
  <conditionalFormatting sqref="E108:E138">
    <cfRule type="expression" dxfId="69" priority="43">
      <formula>IF(AND($E$11="Ano",$E$13="Ano"),1,0)</formula>
    </cfRule>
  </conditionalFormatting>
  <conditionalFormatting sqref="E110:E138">
    <cfRule type="beginsWith" dxfId="68" priority="127" operator="beginsWith" text="RE">
      <formula>LEFT(E110,LEN("RE"))="RE"</formula>
    </cfRule>
  </conditionalFormatting>
  <conditionalFormatting sqref="E140">
    <cfRule type="beginsWith" dxfId="67" priority="134" operator="beginsWith" text="RE">
      <formula>LEFT(E140,LEN("RE"))="RE"</formula>
    </cfRule>
  </conditionalFormatting>
  <conditionalFormatting sqref="E143:E173">
    <cfRule type="beginsWith" dxfId="66" priority="135" operator="beginsWith" text="RE">
      <formula>LEFT(E143,LEN("RE"))="RE"</formula>
    </cfRule>
  </conditionalFormatting>
  <conditionalFormatting sqref="E182:E212">
    <cfRule type="expression" dxfId="65" priority="22">
      <formula>IF(AND($E$11="Ano",$E$13="Ano"),1,0)</formula>
    </cfRule>
  </conditionalFormatting>
  <conditionalFormatting sqref="E247">
    <cfRule type="beginsWith" dxfId="64" priority="132" operator="beginsWith" text="RE">
      <formula>LEFT(E247,LEN("RE"))="RE"</formula>
    </cfRule>
  </conditionalFormatting>
  <conditionalFormatting sqref="E253 E254:F255 F256:F259 E260:F262 F263:F266 E299:F300 B300:B301 E302:F1048576">
    <cfRule type="beginsWith" dxfId="63" priority="87" operator="beginsWith" text="RE">
      <formula>LEFT(B253,LEN("RE"))="RE"</formula>
    </cfRule>
  </conditionalFormatting>
  <conditionalFormatting sqref="E256">
    <cfRule type="beginsWith" dxfId="62" priority="78" operator="beginsWith" text="RE">
      <formula>LEFT(E256,LEN("RE"))="RE"</formula>
    </cfRule>
  </conditionalFormatting>
  <conditionalFormatting sqref="E257:E259">
    <cfRule type="expression" dxfId="61" priority="85">
      <formula>$E$99="NERELEVANTNÍ"</formula>
    </cfRule>
  </conditionalFormatting>
  <conditionalFormatting sqref="E258:E259">
    <cfRule type="beginsWith" dxfId="60" priority="86" operator="beginsWith" text="RE">
      <formula>LEFT(E258,LEN("RE"))="RE"</formula>
    </cfRule>
  </conditionalFormatting>
  <conditionalFormatting sqref="E260">
    <cfRule type="containsText" dxfId="59" priority="88" operator="containsText" text="Ne">
      <formula>NOT(ISERROR(SEARCH("Ne",E260)))</formula>
    </cfRule>
    <cfRule type="containsText" dxfId="58" priority="89" operator="containsText" text="Ano">
      <formula>NOT(ISERROR(SEARCH("Ano",E260)))</formula>
    </cfRule>
  </conditionalFormatting>
  <conditionalFormatting sqref="E263">
    <cfRule type="beginsWith" dxfId="57" priority="77" operator="beginsWith" text="RE">
      <formula>LEFT(E263,LEN("RE"))="RE"</formula>
    </cfRule>
  </conditionalFormatting>
  <conditionalFormatting sqref="E264:E266">
    <cfRule type="expression" dxfId="56" priority="83">
      <formula>$E$106="NERELEVANTNÍ"</formula>
    </cfRule>
  </conditionalFormatting>
  <conditionalFormatting sqref="E265:E266">
    <cfRule type="beginsWith" dxfId="55" priority="84" operator="beginsWith" text="RE">
      <formula>LEFT(E265,LEN("RE"))="RE"</formula>
    </cfRule>
  </conditionalFormatting>
  <conditionalFormatting sqref="E267:E268 E273 E294 E296">
    <cfRule type="containsText" dxfId="54" priority="90" operator="containsText" text="Ne">
      <formula>NOT(ISERROR(SEARCH("Ne",E267)))</formula>
    </cfRule>
    <cfRule type="containsText" dxfId="53" priority="91" operator="containsText" text="Ano">
      <formula>NOT(ISERROR(SEARCH("Ano",E267)))</formula>
    </cfRule>
  </conditionalFormatting>
  <conditionalFormatting sqref="E269">
    <cfRule type="beginsWith" dxfId="52" priority="69" operator="beginsWith" text="RE">
      <formula>LEFT(E269,LEN("RE"))="RE"</formula>
    </cfRule>
  </conditionalFormatting>
  <conditionalFormatting sqref="E272">
    <cfRule type="containsText" dxfId="51" priority="66" operator="containsText" text="Ne">
      <formula>NOT(ISERROR(SEARCH("Ne",E272)))</formula>
    </cfRule>
    <cfRule type="containsText" dxfId="50" priority="67" operator="containsText" text="Ano">
      <formula>NOT(ISERROR(SEARCH("Ano",E272)))</formula>
    </cfRule>
    <cfRule type="beginsWith" dxfId="49" priority="68" operator="beginsWith" text="RE">
      <formula>LEFT(E272,LEN("RE"))="RE"</formula>
    </cfRule>
  </conditionalFormatting>
  <conditionalFormatting sqref="E274">
    <cfRule type="beginsWith" dxfId="48" priority="65" operator="beginsWith" text="RE">
      <formula>LEFT(E274,LEN("RE"))="RE"</formula>
    </cfRule>
  </conditionalFormatting>
  <conditionalFormatting sqref="E277">
    <cfRule type="containsText" dxfId="47" priority="55" operator="containsText" text="Ne">
      <formula>NOT(ISERROR(SEARCH("Ne",E277)))</formula>
    </cfRule>
    <cfRule type="containsText" dxfId="46" priority="56" operator="containsText" text="Ano">
      <formula>NOT(ISERROR(SEARCH("Ano",E277)))</formula>
    </cfRule>
    <cfRule type="beginsWith" dxfId="45" priority="57" operator="beginsWith" text="RE">
      <formula>LEFT(E277,LEN("RE"))="RE"</formula>
    </cfRule>
  </conditionalFormatting>
  <conditionalFormatting sqref="E1:F2 E3 E4:F4 H19 E66 E278:F281">
    <cfRule type="beginsWith" dxfId="44" priority="151" operator="beginsWith" text="RE">
      <formula>LEFT(E1,LEN("RE"))="RE"</formula>
    </cfRule>
  </conditionalFormatting>
  <conditionalFormatting sqref="E6:F6 F8:G8">
    <cfRule type="beginsWith" dxfId="43" priority="158" operator="beginsWith" text="RE">
      <formula>LEFT(E6,LEN("RE"))="RE"</formula>
    </cfRule>
  </conditionalFormatting>
  <conditionalFormatting sqref="E36:F63">
    <cfRule type="beginsWith" dxfId="42" priority="153" operator="beginsWith" text="RE">
      <formula>LEFT(E36,LEN("RE"))="RE"</formula>
    </cfRule>
  </conditionalFormatting>
  <conditionalFormatting sqref="E267:F268 F269:F272 E273:F273 F274:F277">
    <cfRule type="beginsWith" dxfId="41" priority="76" operator="beginsWith" text="RE">
      <formula>LEFT(E267,LEN("RE"))="RE"</formula>
    </cfRule>
  </conditionalFormatting>
  <conditionalFormatting sqref="E282:F283">
    <cfRule type="expression" dxfId="40" priority="81">
      <formula>$E$118="NERELEVANTNÍ"</formula>
    </cfRule>
  </conditionalFormatting>
  <conditionalFormatting sqref="E283:F283">
    <cfRule type="beginsWith" dxfId="39" priority="82" operator="beginsWith" text="RE">
      <formula>LEFT(E283,LEN("RE"))="RE"</formula>
    </cfRule>
  </conditionalFormatting>
  <conditionalFormatting sqref="E284:F287">
    <cfRule type="beginsWith" dxfId="38" priority="75" operator="beginsWith" text="RE">
      <formula>LEFT(E284,LEN("RE"))="RE"</formula>
    </cfRule>
  </conditionalFormatting>
  <conditionalFormatting sqref="E288:F290">
    <cfRule type="expression" dxfId="37" priority="79">
      <formula>$E$118="NERELEVANTNÍ"</formula>
    </cfRule>
  </conditionalFormatting>
  <conditionalFormatting sqref="E289:F289">
    <cfRule type="beginsWith" dxfId="36" priority="80" operator="beginsWith" text="RE">
      <formula>LEFT(E289,LEN("RE"))="RE"</formula>
    </cfRule>
  </conditionalFormatting>
  <conditionalFormatting sqref="E291:F296 E69:E99 E297">
    <cfRule type="beginsWith" dxfId="35" priority="152" operator="beginsWith" text="RE">
      <formula>LEFT(E69,LEN("RE"))="RE"</formula>
    </cfRule>
  </conditionalFormatting>
  <conditionalFormatting sqref="E5:G5">
    <cfRule type="containsText" dxfId="34" priority="25" operator="containsText" text="Duplicitní">
      <formula>NOT(ISERROR(SEARCH("Duplicitní",E5)))</formula>
    </cfRule>
    <cfRule type="containsText" dxfId="33" priority="28" operator="containsText" text="Nejprve">
      <formula>NOT(ISERROR(SEARCH("Nejprve",E5)))</formula>
    </cfRule>
  </conditionalFormatting>
  <conditionalFormatting sqref="E7:G7">
    <cfRule type="containsText" dxfId="32" priority="24" operator="containsText" text="Duplicitní">
      <formula>NOT(ISERROR(SEARCH("Duplicitní",E7)))</formula>
    </cfRule>
    <cfRule type="containsText" dxfId="31" priority="27" operator="containsText" text="Nejprve">
      <formula>NOT(ISERROR(SEARCH("Nejprve",E7)))</formula>
    </cfRule>
  </conditionalFormatting>
  <conditionalFormatting sqref="E9:G9">
    <cfRule type="containsText" dxfId="30" priority="26" operator="containsText" text="Nejprve">
      <formula>NOT(ISERROR(SEARCH("Nejprve",E9)))</formula>
    </cfRule>
    <cfRule type="containsText" dxfId="29" priority="23" operator="containsText" text="Duplicitní">
      <formula>NOT(ISERROR(SEARCH("Duplicitní",E9)))</formula>
    </cfRule>
  </conditionalFormatting>
  <conditionalFormatting sqref="E34:G64">
    <cfRule type="expression" dxfId="28" priority="44">
      <formula>IF(AND($E$11="Ano",$E$13="Ano"),1,0)</formula>
    </cfRule>
  </conditionalFormatting>
  <conditionalFormatting sqref="E33:M33">
    <cfRule type="expression" dxfId="27" priority="41">
      <formula>IF(AND($E$11="Ano",$E$13="Ano"),1,0)</formula>
    </cfRule>
  </conditionalFormatting>
  <conditionalFormatting sqref="E66:M68 E140:M142 T30 B69:C98 B99:D99 B143:C172 T161 B173:D173 E214:M216 B217:C246 B247:D247">
    <cfRule type="expression" dxfId="26" priority="432">
      <formula>IF($E$12="ANO",1,0)</formula>
    </cfRule>
  </conditionalFormatting>
  <conditionalFormatting sqref="E179:M181">
    <cfRule type="expression" dxfId="25" priority="39">
      <formula>IF(AND($E$11="Ano",$E$13="Ano"),1,0)</formula>
    </cfRule>
  </conditionalFormatting>
  <conditionalFormatting sqref="F12:G16">
    <cfRule type="beginsWith" dxfId="24" priority="115" operator="beginsWith" text="RE">
      <formula>LEFT(F12,LEN("RE"))="RE"</formula>
    </cfRule>
  </conditionalFormatting>
  <conditionalFormatting sqref="F106:G106">
    <cfRule type="expression" dxfId="23" priority="33">
      <formula>IF($E$11="Ano",1,0)</formula>
    </cfRule>
  </conditionalFormatting>
  <conditionalFormatting sqref="F180:I180">
    <cfRule type="expression" dxfId="22" priority="31">
      <formula>IF($E$11="Ano",1,0)</formula>
    </cfRule>
  </conditionalFormatting>
  <conditionalFormatting sqref="H294">
    <cfRule type="beginsWith" dxfId="21" priority="70" operator="beginsWith" text="RE">
      <formula>LEFT(H294,LEN("RE"))="RE"</formula>
    </cfRule>
    <cfRule type="containsText" dxfId="20" priority="71" operator="containsText" text="Ne">
      <formula>NOT(ISERROR(SEARCH("Ne",H294)))</formula>
    </cfRule>
    <cfRule type="containsText" dxfId="19" priority="72" operator="containsText" text="Ano">
      <formula>NOT(ISERROR(SEARCH("Ano",H294)))</formula>
    </cfRule>
  </conditionalFormatting>
  <conditionalFormatting sqref="H32:I32">
    <cfRule type="expression" dxfId="18" priority="35">
      <formula>IF($E$11="Ano",1,0)</formula>
    </cfRule>
  </conditionalFormatting>
  <conditionalFormatting sqref="H108:I138">
    <cfRule type="expression" dxfId="17" priority="30">
      <formula>IF(AND($E$11="Ano",$E$13="Ano"),1,0)</formula>
    </cfRule>
  </conditionalFormatting>
  <conditionalFormatting sqref="H279:K294">
    <cfRule type="expression" dxfId="16" priority="29">
      <formula>IF($K$279="NEPOČÍTÁ SE",1,0)</formula>
    </cfRule>
  </conditionalFormatting>
  <conditionalFormatting sqref="J31:M32">
    <cfRule type="expression" dxfId="15" priority="36">
      <formula>IF($E$11="Ano",1,0)</formula>
    </cfRule>
  </conditionalFormatting>
  <conditionalFormatting sqref="J34:M35">
    <cfRule type="beginsWith" dxfId="14" priority="172" operator="beginsWith" text="RE">
      <formula>LEFT(J34,LEN("RE"))="RE"</formula>
    </cfRule>
  </conditionalFormatting>
  <conditionalFormatting sqref="J34:M64">
    <cfRule type="expression" dxfId="13" priority="47">
      <formula>IF($E$11="Ano",1,0)</formula>
    </cfRule>
  </conditionalFormatting>
  <conditionalFormatting sqref="J64:M64 F34:F35 E64:G64 E31 E28:F28 J99:M99 E100:F101 E174:F175 E248:F252">
    <cfRule type="beginsWith" dxfId="12" priority="177" operator="beginsWith" text="RE">
      <formula>LEFT(E28,LEN("RE"))="RE"</formula>
    </cfRule>
  </conditionalFormatting>
  <conditionalFormatting sqref="J69:M99 E69:F70 E71:E98 B99:E99 E66:M68 J143:M173 E143:F144 E145:E172 B173:E173 E140:M142 B247:E247 J217:M247 T30 B66 B69:C98 B140 B143:C172 T161 B214 E214:M216 E217:F218 B217:C246 E219:E246">
    <cfRule type="expression" dxfId="11" priority="429">
      <formula>IF($E$12="ANO",1,0)</formula>
    </cfRule>
  </conditionalFormatting>
  <conditionalFormatting sqref="J105:M106">
    <cfRule type="expression" dxfId="10" priority="34">
      <formula>IF($E$11="Ano",1,0)</formula>
    </cfRule>
  </conditionalFormatting>
  <conditionalFormatting sqref="J108:M109">
    <cfRule type="beginsWith" dxfId="9" priority="139" operator="beginsWith" text="RE">
      <formula>LEFT(J108,LEN("RE"))="RE"</formula>
    </cfRule>
  </conditionalFormatting>
  <conditionalFormatting sqref="J108:M138">
    <cfRule type="expression" dxfId="8" priority="38">
      <formula>IF($E$11="Ano",1,0)</formula>
    </cfRule>
  </conditionalFormatting>
  <conditionalFormatting sqref="J179:M180">
    <cfRule type="expression" dxfId="7" priority="32">
      <formula>IF($E$11="Ano",1,0)</formula>
    </cfRule>
  </conditionalFormatting>
  <conditionalFormatting sqref="J182:M212">
    <cfRule type="expression" dxfId="6" priority="45">
      <formula>IF($E$11="Ano",1,0)</formula>
    </cfRule>
  </conditionalFormatting>
  <conditionalFormatting sqref="J212:M212 E212">
    <cfRule type="beginsWith" dxfId="5" priority="133" operator="beginsWith" text="RE">
      <formula>LEFT(E212,LEN("RE"))="RE"</formula>
    </cfRule>
  </conditionalFormatting>
  <conditionalFormatting sqref="J247:M247">
    <cfRule type="beginsWith" dxfId="4" priority="131" operator="beginsWith" text="RE">
      <formula>LEFT(J247,LEN("RE"))="RE"</formula>
    </cfRule>
  </conditionalFormatting>
  <conditionalFormatting sqref="M69:M70">
    <cfRule type="beginsWith" dxfId="3" priority="171" operator="beginsWith" text="RE">
      <formula>LEFT(M69,LEN("RE"))="RE"</formula>
    </cfRule>
  </conditionalFormatting>
  <conditionalFormatting sqref="M143:M144">
    <cfRule type="beginsWith" dxfId="2" priority="138" operator="beginsWith" text="RE">
      <formula>LEFT(M143,LEN("RE"))="RE"</formula>
    </cfRule>
  </conditionalFormatting>
  <pageMargins left="0.39370078740157483" right="0.39370078740157483" top="0.39370078740157483" bottom="0.39370078740157483" header="0.31496062992125984" footer="0.31496062992125984"/>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02" r:id="rId4" name="Check Box 54">
              <controlPr defaultSize="0" autoFill="0" autoLine="0" autoPict="0">
                <anchor moveWithCells="1">
                  <from>
                    <xdr:col>1</xdr:col>
                    <xdr:colOff>4267200</xdr:colOff>
                    <xdr:row>43</xdr:row>
                    <xdr:rowOff>9525</xdr:rowOff>
                  </from>
                  <to>
                    <xdr:col>1</xdr:col>
                    <xdr:colOff>4476750</xdr:colOff>
                    <xdr:row>44</xdr:row>
                    <xdr:rowOff>0</xdr:rowOff>
                  </to>
                </anchor>
              </controlPr>
            </control>
          </mc:Choice>
        </mc:AlternateContent>
        <mc:AlternateContent xmlns:mc="http://schemas.openxmlformats.org/markup-compatibility/2006">
          <mc:Choice Requires="x14">
            <control shapeId="2103" r:id="rId5" name="Check Box 55">
              <controlPr defaultSize="0" autoFill="0" autoLine="0" autoPict="0">
                <anchor moveWithCells="1">
                  <from>
                    <xdr:col>1</xdr:col>
                    <xdr:colOff>4267200</xdr:colOff>
                    <xdr:row>45</xdr:row>
                    <xdr:rowOff>9525</xdr:rowOff>
                  </from>
                  <to>
                    <xdr:col>1</xdr:col>
                    <xdr:colOff>4476750</xdr:colOff>
                    <xdr:row>46</xdr:row>
                    <xdr:rowOff>0</xdr:rowOff>
                  </to>
                </anchor>
              </controlPr>
            </control>
          </mc:Choice>
        </mc:AlternateContent>
        <mc:AlternateContent xmlns:mc="http://schemas.openxmlformats.org/markup-compatibility/2006">
          <mc:Choice Requires="x14">
            <control shapeId="2104" r:id="rId6" name="Check Box 56">
              <controlPr defaultSize="0" autoFill="0" autoLine="0" autoPict="0">
                <anchor moveWithCells="1">
                  <from>
                    <xdr:col>1</xdr:col>
                    <xdr:colOff>4267200</xdr:colOff>
                    <xdr:row>46</xdr:row>
                    <xdr:rowOff>9525</xdr:rowOff>
                  </from>
                  <to>
                    <xdr:col>1</xdr:col>
                    <xdr:colOff>4476750</xdr:colOff>
                    <xdr:row>47</xdr:row>
                    <xdr:rowOff>0</xdr:rowOff>
                  </to>
                </anchor>
              </controlPr>
            </control>
          </mc:Choice>
        </mc:AlternateContent>
        <mc:AlternateContent xmlns:mc="http://schemas.openxmlformats.org/markup-compatibility/2006">
          <mc:Choice Requires="x14">
            <control shapeId="2105" r:id="rId7" name="Check Box 57">
              <controlPr defaultSize="0" autoFill="0" autoLine="0" autoPict="0">
                <anchor moveWithCells="1">
                  <from>
                    <xdr:col>1</xdr:col>
                    <xdr:colOff>4267200</xdr:colOff>
                    <xdr:row>47</xdr:row>
                    <xdr:rowOff>9525</xdr:rowOff>
                  </from>
                  <to>
                    <xdr:col>1</xdr:col>
                    <xdr:colOff>4476750</xdr:colOff>
                    <xdr:row>48</xdr:row>
                    <xdr:rowOff>0</xdr:rowOff>
                  </to>
                </anchor>
              </controlPr>
            </control>
          </mc:Choice>
        </mc:AlternateContent>
        <mc:AlternateContent xmlns:mc="http://schemas.openxmlformats.org/markup-compatibility/2006">
          <mc:Choice Requires="x14">
            <control shapeId="2106" r:id="rId8" name="Check Box 58">
              <controlPr defaultSize="0" autoFill="0" autoLine="0" autoPict="0">
                <anchor moveWithCells="1">
                  <from>
                    <xdr:col>1</xdr:col>
                    <xdr:colOff>4267200</xdr:colOff>
                    <xdr:row>48</xdr:row>
                    <xdr:rowOff>9525</xdr:rowOff>
                  </from>
                  <to>
                    <xdr:col>1</xdr:col>
                    <xdr:colOff>4476750</xdr:colOff>
                    <xdr:row>49</xdr:row>
                    <xdr:rowOff>0</xdr:rowOff>
                  </to>
                </anchor>
              </controlPr>
            </control>
          </mc:Choice>
        </mc:AlternateContent>
        <mc:AlternateContent xmlns:mc="http://schemas.openxmlformats.org/markup-compatibility/2006">
          <mc:Choice Requires="x14">
            <control shapeId="2108" r:id="rId9" name="Check Box 60">
              <controlPr defaultSize="0" autoFill="0" autoLine="0" autoPict="0">
                <anchor moveWithCells="1">
                  <from>
                    <xdr:col>1</xdr:col>
                    <xdr:colOff>4267200</xdr:colOff>
                    <xdr:row>107</xdr:row>
                    <xdr:rowOff>9525</xdr:rowOff>
                  </from>
                  <to>
                    <xdr:col>1</xdr:col>
                    <xdr:colOff>4476750</xdr:colOff>
                    <xdr:row>108</xdr:row>
                    <xdr:rowOff>0</xdr:rowOff>
                  </to>
                </anchor>
              </controlPr>
            </control>
          </mc:Choice>
        </mc:AlternateContent>
        <mc:AlternateContent xmlns:mc="http://schemas.openxmlformats.org/markup-compatibility/2006">
          <mc:Choice Requires="x14">
            <control shapeId="2109" r:id="rId10" name="Check Box 61">
              <controlPr defaultSize="0" autoFill="0" autoLine="0" autoPict="0">
                <anchor moveWithCells="1">
                  <from>
                    <xdr:col>1</xdr:col>
                    <xdr:colOff>4267200</xdr:colOff>
                    <xdr:row>109</xdr:row>
                    <xdr:rowOff>9525</xdr:rowOff>
                  </from>
                  <to>
                    <xdr:col>1</xdr:col>
                    <xdr:colOff>4476750</xdr:colOff>
                    <xdr:row>110</xdr:row>
                    <xdr:rowOff>0</xdr:rowOff>
                  </to>
                </anchor>
              </controlPr>
            </control>
          </mc:Choice>
        </mc:AlternateContent>
        <mc:AlternateContent xmlns:mc="http://schemas.openxmlformats.org/markup-compatibility/2006">
          <mc:Choice Requires="x14">
            <control shapeId="2110" r:id="rId11" name="Check Box 62">
              <controlPr defaultSize="0" autoFill="0" autoLine="0" autoPict="0">
                <anchor moveWithCells="1">
                  <from>
                    <xdr:col>1</xdr:col>
                    <xdr:colOff>4267200</xdr:colOff>
                    <xdr:row>111</xdr:row>
                    <xdr:rowOff>9525</xdr:rowOff>
                  </from>
                  <to>
                    <xdr:col>1</xdr:col>
                    <xdr:colOff>4476750</xdr:colOff>
                    <xdr:row>112</xdr:row>
                    <xdr:rowOff>0</xdr:rowOff>
                  </to>
                </anchor>
              </controlPr>
            </control>
          </mc:Choice>
        </mc:AlternateContent>
        <mc:AlternateContent xmlns:mc="http://schemas.openxmlformats.org/markup-compatibility/2006">
          <mc:Choice Requires="x14">
            <control shapeId="2111" r:id="rId12" name="Check Box 63">
              <controlPr defaultSize="0" autoFill="0" autoLine="0" autoPict="0">
                <anchor moveWithCells="1">
                  <from>
                    <xdr:col>1</xdr:col>
                    <xdr:colOff>4267200</xdr:colOff>
                    <xdr:row>113</xdr:row>
                    <xdr:rowOff>9525</xdr:rowOff>
                  </from>
                  <to>
                    <xdr:col>1</xdr:col>
                    <xdr:colOff>4476750</xdr:colOff>
                    <xdr:row>114</xdr:row>
                    <xdr:rowOff>0</xdr:rowOff>
                  </to>
                </anchor>
              </controlPr>
            </control>
          </mc:Choice>
        </mc:AlternateContent>
        <mc:AlternateContent xmlns:mc="http://schemas.openxmlformats.org/markup-compatibility/2006">
          <mc:Choice Requires="x14">
            <control shapeId="2112" r:id="rId13" name="Check Box 64">
              <controlPr defaultSize="0" autoFill="0" autoLine="0" autoPict="0">
                <anchor moveWithCells="1">
                  <from>
                    <xdr:col>1</xdr:col>
                    <xdr:colOff>4267200</xdr:colOff>
                    <xdr:row>115</xdr:row>
                    <xdr:rowOff>9525</xdr:rowOff>
                  </from>
                  <to>
                    <xdr:col>1</xdr:col>
                    <xdr:colOff>4476750</xdr:colOff>
                    <xdr:row>116</xdr:row>
                    <xdr:rowOff>0</xdr:rowOff>
                  </to>
                </anchor>
              </controlPr>
            </control>
          </mc:Choice>
        </mc:AlternateContent>
        <mc:AlternateContent xmlns:mc="http://schemas.openxmlformats.org/markup-compatibility/2006">
          <mc:Choice Requires="x14">
            <control shapeId="2113" r:id="rId14" name="Check Box 65">
              <controlPr defaultSize="0" autoFill="0" autoLine="0" autoPict="0">
                <anchor moveWithCells="1">
                  <from>
                    <xdr:col>1</xdr:col>
                    <xdr:colOff>4267200</xdr:colOff>
                    <xdr:row>117</xdr:row>
                    <xdr:rowOff>9525</xdr:rowOff>
                  </from>
                  <to>
                    <xdr:col>1</xdr:col>
                    <xdr:colOff>4476750</xdr:colOff>
                    <xdr:row>118</xdr:row>
                    <xdr:rowOff>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1</xdr:col>
                    <xdr:colOff>4267200</xdr:colOff>
                    <xdr:row>119</xdr:row>
                    <xdr:rowOff>9525</xdr:rowOff>
                  </from>
                  <to>
                    <xdr:col>1</xdr:col>
                    <xdr:colOff>4476750</xdr:colOff>
                    <xdr:row>120</xdr:row>
                    <xdr:rowOff>0</xdr:rowOff>
                  </to>
                </anchor>
              </controlPr>
            </control>
          </mc:Choice>
        </mc:AlternateContent>
        <mc:AlternateContent xmlns:mc="http://schemas.openxmlformats.org/markup-compatibility/2006">
          <mc:Choice Requires="x14">
            <control shapeId="2115" r:id="rId16" name="Check Box 67">
              <controlPr defaultSize="0" autoFill="0" autoLine="0" autoPict="0">
                <anchor moveWithCells="1">
                  <from>
                    <xdr:col>1</xdr:col>
                    <xdr:colOff>4267200</xdr:colOff>
                    <xdr:row>120</xdr:row>
                    <xdr:rowOff>9525</xdr:rowOff>
                  </from>
                  <to>
                    <xdr:col>1</xdr:col>
                    <xdr:colOff>4476750</xdr:colOff>
                    <xdr:row>121</xdr:row>
                    <xdr:rowOff>0</xdr:rowOff>
                  </to>
                </anchor>
              </controlPr>
            </control>
          </mc:Choice>
        </mc:AlternateContent>
        <mc:AlternateContent xmlns:mc="http://schemas.openxmlformats.org/markup-compatibility/2006">
          <mc:Choice Requires="x14">
            <control shapeId="2116" r:id="rId17" name="Check Box 68">
              <controlPr defaultSize="0" autoFill="0" autoLine="0" autoPict="0">
                <anchor moveWithCells="1">
                  <from>
                    <xdr:col>1</xdr:col>
                    <xdr:colOff>4267200</xdr:colOff>
                    <xdr:row>121</xdr:row>
                    <xdr:rowOff>9525</xdr:rowOff>
                  </from>
                  <to>
                    <xdr:col>1</xdr:col>
                    <xdr:colOff>4476750</xdr:colOff>
                    <xdr:row>122</xdr:row>
                    <xdr:rowOff>0</xdr:rowOff>
                  </to>
                </anchor>
              </controlPr>
            </control>
          </mc:Choice>
        </mc:AlternateContent>
        <mc:AlternateContent xmlns:mc="http://schemas.openxmlformats.org/markup-compatibility/2006">
          <mc:Choice Requires="x14">
            <control shapeId="2117" r:id="rId18" name="Check Box 69">
              <controlPr defaultSize="0" autoFill="0" autoLine="0" autoPict="0">
                <anchor moveWithCells="1">
                  <from>
                    <xdr:col>1</xdr:col>
                    <xdr:colOff>4267200</xdr:colOff>
                    <xdr:row>122</xdr:row>
                    <xdr:rowOff>9525</xdr:rowOff>
                  </from>
                  <to>
                    <xdr:col>1</xdr:col>
                    <xdr:colOff>4476750</xdr:colOff>
                    <xdr:row>123</xdr:row>
                    <xdr:rowOff>0</xdr:rowOff>
                  </to>
                </anchor>
              </controlPr>
            </control>
          </mc:Choice>
        </mc:AlternateContent>
        <mc:AlternateContent xmlns:mc="http://schemas.openxmlformats.org/markup-compatibility/2006">
          <mc:Choice Requires="x14">
            <control shapeId="2118" r:id="rId19" name="Check Box 70">
              <controlPr defaultSize="0" autoFill="0" autoLine="0" autoPict="0">
                <anchor moveWithCells="1">
                  <from>
                    <xdr:col>1</xdr:col>
                    <xdr:colOff>4267200</xdr:colOff>
                    <xdr:row>181</xdr:row>
                    <xdr:rowOff>9525</xdr:rowOff>
                  </from>
                  <to>
                    <xdr:col>1</xdr:col>
                    <xdr:colOff>4476750</xdr:colOff>
                    <xdr:row>182</xdr:row>
                    <xdr:rowOff>0</xdr:rowOff>
                  </to>
                </anchor>
              </controlPr>
            </control>
          </mc:Choice>
        </mc:AlternateContent>
        <mc:AlternateContent xmlns:mc="http://schemas.openxmlformats.org/markup-compatibility/2006">
          <mc:Choice Requires="x14">
            <control shapeId="2119" r:id="rId20" name="Check Box 71">
              <controlPr defaultSize="0" autoFill="0" autoLine="0" autoPict="0">
                <anchor moveWithCells="1">
                  <from>
                    <xdr:col>1</xdr:col>
                    <xdr:colOff>4267200</xdr:colOff>
                    <xdr:row>183</xdr:row>
                    <xdr:rowOff>9525</xdr:rowOff>
                  </from>
                  <to>
                    <xdr:col>1</xdr:col>
                    <xdr:colOff>4476750</xdr:colOff>
                    <xdr:row>184</xdr:row>
                    <xdr:rowOff>0</xdr:rowOff>
                  </to>
                </anchor>
              </controlPr>
            </control>
          </mc:Choice>
        </mc:AlternateContent>
        <mc:AlternateContent xmlns:mc="http://schemas.openxmlformats.org/markup-compatibility/2006">
          <mc:Choice Requires="x14">
            <control shapeId="2120" r:id="rId21" name="Check Box 72">
              <controlPr defaultSize="0" autoFill="0" autoLine="0" autoPict="0">
                <anchor moveWithCells="1">
                  <from>
                    <xdr:col>1</xdr:col>
                    <xdr:colOff>4267200</xdr:colOff>
                    <xdr:row>185</xdr:row>
                    <xdr:rowOff>9525</xdr:rowOff>
                  </from>
                  <to>
                    <xdr:col>1</xdr:col>
                    <xdr:colOff>4476750</xdr:colOff>
                    <xdr:row>186</xdr:row>
                    <xdr:rowOff>0</xdr:rowOff>
                  </to>
                </anchor>
              </controlPr>
            </control>
          </mc:Choice>
        </mc:AlternateContent>
        <mc:AlternateContent xmlns:mc="http://schemas.openxmlformats.org/markup-compatibility/2006">
          <mc:Choice Requires="x14">
            <control shapeId="2121" r:id="rId22" name="Check Box 73">
              <controlPr defaultSize="0" autoFill="0" autoLine="0" autoPict="0">
                <anchor moveWithCells="1">
                  <from>
                    <xdr:col>1</xdr:col>
                    <xdr:colOff>4267200</xdr:colOff>
                    <xdr:row>187</xdr:row>
                    <xdr:rowOff>9525</xdr:rowOff>
                  </from>
                  <to>
                    <xdr:col>1</xdr:col>
                    <xdr:colOff>4476750</xdr:colOff>
                    <xdr:row>188</xdr:row>
                    <xdr:rowOff>0</xdr:rowOff>
                  </to>
                </anchor>
              </controlPr>
            </control>
          </mc:Choice>
        </mc:AlternateContent>
        <mc:AlternateContent xmlns:mc="http://schemas.openxmlformats.org/markup-compatibility/2006">
          <mc:Choice Requires="x14">
            <control shapeId="2122" r:id="rId23" name="Check Box 74">
              <controlPr defaultSize="0" autoFill="0" autoLine="0" autoPict="0">
                <anchor moveWithCells="1">
                  <from>
                    <xdr:col>1</xdr:col>
                    <xdr:colOff>4267200</xdr:colOff>
                    <xdr:row>189</xdr:row>
                    <xdr:rowOff>9525</xdr:rowOff>
                  </from>
                  <to>
                    <xdr:col>1</xdr:col>
                    <xdr:colOff>4476750</xdr:colOff>
                    <xdr:row>190</xdr:row>
                    <xdr:rowOff>0</xdr:rowOff>
                  </to>
                </anchor>
              </controlPr>
            </control>
          </mc:Choice>
        </mc:AlternateContent>
        <mc:AlternateContent xmlns:mc="http://schemas.openxmlformats.org/markup-compatibility/2006">
          <mc:Choice Requires="x14">
            <control shapeId="2123" r:id="rId24" name="Check Box 75">
              <controlPr defaultSize="0" autoFill="0" autoLine="0" autoPict="0">
                <anchor moveWithCells="1">
                  <from>
                    <xdr:col>1</xdr:col>
                    <xdr:colOff>4267200</xdr:colOff>
                    <xdr:row>191</xdr:row>
                    <xdr:rowOff>9525</xdr:rowOff>
                  </from>
                  <to>
                    <xdr:col>1</xdr:col>
                    <xdr:colOff>4476750</xdr:colOff>
                    <xdr:row>192</xdr:row>
                    <xdr:rowOff>0</xdr:rowOff>
                  </to>
                </anchor>
              </controlPr>
            </control>
          </mc:Choice>
        </mc:AlternateContent>
        <mc:AlternateContent xmlns:mc="http://schemas.openxmlformats.org/markup-compatibility/2006">
          <mc:Choice Requires="x14">
            <control shapeId="2124" r:id="rId25" name="Check Box 76">
              <controlPr defaultSize="0" autoFill="0" autoLine="0" autoPict="0">
                <anchor moveWithCells="1">
                  <from>
                    <xdr:col>1</xdr:col>
                    <xdr:colOff>4267200</xdr:colOff>
                    <xdr:row>193</xdr:row>
                    <xdr:rowOff>9525</xdr:rowOff>
                  </from>
                  <to>
                    <xdr:col>1</xdr:col>
                    <xdr:colOff>4476750</xdr:colOff>
                    <xdr:row>194</xdr:row>
                    <xdr:rowOff>0</xdr:rowOff>
                  </to>
                </anchor>
              </controlPr>
            </control>
          </mc:Choice>
        </mc:AlternateContent>
        <mc:AlternateContent xmlns:mc="http://schemas.openxmlformats.org/markup-compatibility/2006">
          <mc:Choice Requires="x14">
            <control shapeId="2125" r:id="rId26" name="Check Box 77">
              <controlPr defaultSize="0" autoFill="0" autoLine="0" autoPict="0">
                <anchor moveWithCells="1">
                  <from>
                    <xdr:col>1</xdr:col>
                    <xdr:colOff>4267200</xdr:colOff>
                    <xdr:row>194</xdr:row>
                    <xdr:rowOff>9525</xdr:rowOff>
                  </from>
                  <to>
                    <xdr:col>1</xdr:col>
                    <xdr:colOff>4476750</xdr:colOff>
                    <xdr:row>195</xdr:row>
                    <xdr:rowOff>0</xdr:rowOff>
                  </to>
                </anchor>
              </controlPr>
            </control>
          </mc:Choice>
        </mc:AlternateContent>
        <mc:AlternateContent xmlns:mc="http://schemas.openxmlformats.org/markup-compatibility/2006">
          <mc:Choice Requires="x14">
            <control shapeId="2126" r:id="rId27" name="Check Box 78">
              <controlPr defaultSize="0" autoFill="0" autoLine="0" autoPict="0">
                <anchor moveWithCells="1">
                  <from>
                    <xdr:col>1</xdr:col>
                    <xdr:colOff>4267200</xdr:colOff>
                    <xdr:row>195</xdr:row>
                    <xdr:rowOff>9525</xdr:rowOff>
                  </from>
                  <to>
                    <xdr:col>1</xdr:col>
                    <xdr:colOff>4476750</xdr:colOff>
                    <xdr:row>196</xdr:row>
                    <xdr:rowOff>0</xdr:rowOff>
                  </to>
                </anchor>
              </controlPr>
            </control>
          </mc:Choice>
        </mc:AlternateContent>
        <mc:AlternateContent xmlns:mc="http://schemas.openxmlformats.org/markup-compatibility/2006">
          <mc:Choice Requires="x14">
            <control shapeId="2127" r:id="rId28" name="Check Box 79">
              <controlPr defaultSize="0" autoFill="0" autoLine="0" autoPict="0">
                <anchor moveWithCells="1">
                  <from>
                    <xdr:col>1</xdr:col>
                    <xdr:colOff>4267200</xdr:colOff>
                    <xdr:row>196</xdr:row>
                    <xdr:rowOff>9525</xdr:rowOff>
                  </from>
                  <to>
                    <xdr:col>1</xdr:col>
                    <xdr:colOff>4476750</xdr:colOff>
                    <xdr:row>197</xdr:row>
                    <xdr:rowOff>0</xdr:rowOff>
                  </to>
                </anchor>
              </controlPr>
            </control>
          </mc:Choice>
        </mc:AlternateContent>
        <mc:AlternateContent xmlns:mc="http://schemas.openxmlformats.org/markup-compatibility/2006">
          <mc:Choice Requires="x14">
            <control shapeId="2128" r:id="rId29" name="Check Box 80">
              <controlPr defaultSize="0" autoFill="0" autoLine="0" autoPict="0">
                <anchor moveWithCells="1">
                  <from>
                    <xdr:col>1</xdr:col>
                    <xdr:colOff>4267200</xdr:colOff>
                    <xdr:row>33</xdr:row>
                    <xdr:rowOff>9525</xdr:rowOff>
                  </from>
                  <to>
                    <xdr:col>1</xdr:col>
                    <xdr:colOff>4476750</xdr:colOff>
                    <xdr:row>34</xdr:row>
                    <xdr:rowOff>0</xdr:rowOff>
                  </to>
                </anchor>
              </controlPr>
            </control>
          </mc:Choice>
        </mc:AlternateContent>
        <mc:AlternateContent xmlns:mc="http://schemas.openxmlformats.org/markup-compatibility/2006">
          <mc:Choice Requires="x14">
            <control shapeId="2129" r:id="rId30" name="Check Box 81">
              <controlPr defaultSize="0" autoFill="0" autoLine="0" autoPict="0">
                <anchor moveWithCells="1">
                  <from>
                    <xdr:col>1</xdr:col>
                    <xdr:colOff>4267200</xdr:colOff>
                    <xdr:row>35</xdr:row>
                    <xdr:rowOff>9525</xdr:rowOff>
                  </from>
                  <to>
                    <xdr:col>1</xdr:col>
                    <xdr:colOff>4476750</xdr:colOff>
                    <xdr:row>36</xdr:row>
                    <xdr:rowOff>0</xdr:rowOff>
                  </to>
                </anchor>
              </controlPr>
            </control>
          </mc:Choice>
        </mc:AlternateContent>
        <mc:AlternateContent xmlns:mc="http://schemas.openxmlformats.org/markup-compatibility/2006">
          <mc:Choice Requires="x14">
            <control shapeId="2130" r:id="rId31" name="Check Box 82">
              <controlPr defaultSize="0" autoFill="0" autoLine="0" autoPict="0">
                <anchor moveWithCells="1">
                  <from>
                    <xdr:col>1</xdr:col>
                    <xdr:colOff>4267200</xdr:colOff>
                    <xdr:row>37</xdr:row>
                    <xdr:rowOff>9525</xdr:rowOff>
                  </from>
                  <to>
                    <xdr:col>1</xdr:col>
                    <xdr:colOff>4476750</xdr:colOff>
                    <xdr:row>38</xdr:row>
                    <xdr:rowOff>0</xdr:rowOff>
                  </to>
                </anchor>
              </controlPr>
            </control>
          </mc:Choice>
        </mc:AlternateContent>
        <mc:AlternateContent xmlns:mc="http://schemas.openxmlformats.org/markup-compatibility/2006">
          <mc:Choice Requires="x14">
            <control shapeId="2131" r:id="rId32" name="Check Box 83">
              <controlPr defaultSize="0" autoFill="0" autoLine="0" autoPict="0">
                <anchor moveWithCells="1">
                  <from>
                    <xdr:col>1</xdr:col>
                    <xdr:colOff>4267200</xdr:colOff>
                    <xdr:row>39</xdr:row>
                    <xdr:rowOff>9525</xdr:rowOff>
                  </from>
                  <to>
                    <xdr:col>1</xdr:col>
                    <xdr:colOff>4476750</xdr:colOff>
                    <xdr:row>40</xdr:row>
                    <xdr:rowOff>0</xdr:rowOff>
                  </to>
                </anchor>
              </controlPr>
            </control>
          </mc:Choice>
        </mc:AlternateContent>
        <mc:AlternateContent xmlns:mc="http://schemas.openxmlformats.org/markup-compatibility/2006">
          <mc:Choice Requires="x14">
            <control shapeId="2132" r:id="rId33" name="Check Box 84">
              <controlPr defaultSize="0" autoFill="0" autoLine="0" autoPict="0">
                <anchor moveWithCells="1">
                  <from>
                    <xdr:col>1</xdr:col>
                    <xdr:colOff>4267200</xdr:colOff>
                    <xdr:row>41</xdr:row>
                    <xdr:rowOff>9525</xdr:rowOff>
                  </from>
                  <to>
                    <xdr:col>1</xdr:col>
                    <xdr:colOff>4476750</xdr:colOff>
                    <xdr:row>42</xdr:row>
                    <xdr:rowOff>0</xdr:rowOff>
                  </to>
                </anchor>
              </controlPr>
            </control>
          </mc:Choice>
        </mc:AlternateContent>
        <mc:AlternateContent xmlns:mc="http://schemas.openxmlformats.org/markup-compatibility/2006">
          <mc:Choice Requires="x14">
            <control shapeId="2138" r:id="rId34" name="Check Box 90">
              <controlPr defaultSize="0" autoFill="0" autoLine="0" autoPict="0">
                <anchor moveWithCells="1">
                  <from>
                    <xdr:col>1</xdr:col>
                    <xdr:colOff>4267200</xdr:colOff>
                    <xdr:row>34</xdr:row>
                    <xdr:rowOff>9525</xdr:rowOff>
                  </from>
                  <to>
                    <xdr:col>1</xdr:col>
                    <xdr:colOff>4476750</xdr:colOff>
                    <xdr:row>35</xdr:row>
                    <xdr:rowOff>0</xdr:rowOff>
                  </to>
                </anchor>
              </controlPr>
            </control>
          </mc:Choice>
        </mc:AlternateContent>
        <mc:AlternateContent xmlns:mc="http://schemas.openxmlformats.org/markup-compatibility/2006">
          <mc:Choice Requires="x14">
            <control shapeId="2139" r:id="rId35" name="Check Box 91">
              <controlPr defaultSize="0" autoFill="0" autoLine="0" autoPict="0">
                <anchor moveWithCells="1">
                  <from>
                    <xdr:col>1</xdr:col>
                    <xdr:colOff>4267200</xdr:colOff>
                    <xdr:row>36</xdr:row>
                    <xdr:rowOff>9525</xdr:rowOff>
                  </from>
                  <to>
                    <xdr:col>1</xdr:col>
                    <xdr:colOff>4476750</xdr:colOff>
                    <xdr:row>37</xdr:row>
                    <xdr:rowOff>0</xdr:rowOff>
                  </to>
                </anchor>
              </controlPr>
            </control>
          </mc:Choice>
        </mc:AlternateContent>
        <mc:AlternateContent xmlns:mc="http://schemas.openxmlformats.org/markup-compatibility/2006">
          <mc:Choice Requires="x14">
            <control shapeId="2140" r:id="rId36" name="Check Box 92">
              <controlPr defaultSize="0" autoFill="0" autoLine="0" autoPict="0">
                <anchor moveWithCells="1">
                  <from>
                    <xdr:col>1</xdr:col>
                    <xdr:colOff>4267200</xdr:colOff>
                    <xdr:row>38</xdr:row>
                    <xdr:rowOff>9525</xdr:rowOff>
                  </from>
                  <to>
                    <xdr:col>1</xdr:col>
                    <xdr:colOff>4476750</xdr:colOff>
                    <xdr:row>39</xdr:row>
                    <xdr:rowOff>0</xdr:rowOff>
                  </to>
                </anchor>
              </controlPr>
            </control>
          </mc:Choice>
        </mc:AlternateContent>
        <mc:AlternateContent xmlns:mc="http://schemas.openxmlformats.org/markup-compatibility/2006">
          <mc:Choice Requires="x14">
            <control shapeId="2141" r:id="rId37" name="Check Box 93">
              <controlPr defaultSize="0" autoFill="0" autoLine="0" autoPict="0">
                <anchor moveWithCells="1">
                  <from>
                    <xdr:col>1</xdr:col>
                    <xdr:colOff>4267200</xdr:colOff>
                    <xdr:row>40</xdr:row>
                    <xdr:rowOff>9525</xdr:rowOff>
                  </from>
                  <to>
                    <xdr:col>1</xdr:col>
                    <xdr:colOff>4476750</xdr:colOff>
                    <xdr:row>41</xdr:row>
                    <xdr:rowOff>0</xdr:rowOff>
                  </to>
                </anchor>
              </controlPr>
            </control>
          </mc:Choice>
        </mc:AlternateContent>
        <mc:AlternateContent xmlns:mc="http://schemas.openxmlformats.org/markup-compatibility/2006">
          <mc:Choice Requires="x14">
            <control shapeId="2142" r:id="rId38" name="Check Box 94">
              <controlPr defaultSize="0" autoFill="0" autoLine="0" autoPict="0">
                <anchor moveWithCells="1">
                  <from>
                    <xdr:col>1</xdr:col>
                    <xdr:colOff>4267200</xdr:colOff>
                    <xdr:row>42</xdr:row>
                    <xdr:rowOff>9525</xdr:rowOff>
                  </from>
                  <to>
                    <xdr:col>1</xdr:col>
                    <xdr:colOff>4476750</xdr:colOff>
                    <xdr:row>43</xdr:row>
                    <xdr:rowOff>0</xdr:rowOff>
                  </to>
                </anchor>
              </controlPr>
            </control>
          </mc:Choice>
        </mc:AlternateContent>
        <mc:AlternateContent xmlns:mc="http://schemas.openxmlformats.org/markup-compatibility/2006">
          <mc:Choice Requires="x14">
            <control shapeId="2143" r:id="rId39" name="Check Box 95">
              <controlPr defaultSize="0" autoFill="0" autoLine="0" autoPict="0">
                <anchor moveWithCells="1">
                  <from>
                    <xdr:col>1</xdr:col>
                    <xdr:colOff>4267200</xdr:colOff>
                    <xdr:row>44</xdr:row>
                    <xdr:rowOff>9525</xdr:rowOff>
                  </from>
                  <to>
                    <xdr:col>1</xdr:col>
                    <xdr:colOff>4476750</xdr:colOff>
                    <xdr:row>45</xdr:row>
                    <xdr:rowOff>0</xdr:rowOff>
                  </to>
                </anchor>
              </controlPr>
            </control>
          </mc:Choice>
        </mc:AlternateContent>
        <mc:AlternateContent xmlns:mc="http://schemas.openxmlformats.org/markup-compatibility/2006">
          <mc:Choice Requires="x14">
            <control shapeId="2144" r:id="rId40" name="Check Box 96">
              <controlPr defaultSize="0" autoFill="0" autoLine="0" autoPict="0">
                <anchor moveWithCells="1">
                  <from>
                    <xdr:col>1</xdr:col>
                    <xdr:colOff>4267200</xdr:colOff>
                    <xdr:row>108</xdr:row>
                    <xdr:rowOff>9525</xdr:rowOff>
                  </from>
                  <to>
                    <xdr:col>1</xdr:col>
                    <xdr:colOff>4476750</xdr:colOff>
                    <xdr:row>109</xdr:row>
                    <xdr:rowOff>0</xdr:rowOff>
                  </to>
                </anchor>
              </controlPr>
            </control>
          </mc:Choice>
        </mc:AlternateContent>
        <mc:AlternateContent xmlns:mc="http://schemas.openxmlformats.org/markup-compatibility/2006">
          <mc:Choice Requires="x14">
            <control shapeId="2145" r:id="rId41" name="Check Box 97">
              <controlPr defaultSize="0" autoFill="0" autoLine="0" autoPict="0">
                <anchor moveWithCells="1">
                  <from>
                    <xdr:col>1</xdr:col>
                    <xdr:colOff>4267200</xdr:colOff>
                    <xdr:row>110</xdr:row>
                    <xdr:rowOff>9525</xdr:rowOff>
                  </from>
                  <to>
                    <xdr:col>1</xdr:col>
                    <xdr:colOff>4476750</xdr:colOff>
                    <xdr:row>111</xdr:row>
                    <xdr:rowOff>0</xdr:rowOff>
                  </to>
                </anchor>
              </controlPr>
            </control>
          </mc:Choice>
        </mc:AlternateContent>
        <mc:AlternateContent xmlns:mc="http://schemas.openxmlformats.org/markup-compatibility/2006">
          <mc:Choice Requires="x14">
            <control shapeId="2146" r:id="rId42" name="Check Box 98">
              <controlPr defaultSize="0" autoFill="0" autoLine="0" autoPict="0">
                <anchor moveWithCells="1">
                  <from>
                    <xdr:col>1</xdr:col>
                    <xdr:colOff>4267200</xdr:colOff>
                    <xdr:row>112</xdr:row>
                    <xdr:rowOff>9525</xdr:rowOff>
                  </from>
                  <to>
                    <xdr:col>1</xdr:col>
                    <xdr:colOff>4476750</xdr:colOff>
                    <xdr:row>113</xdr:row>
                    <xdr:rowOff>0</xdr:rowOff>
                  </to>
                </anchor>
              </controlPr>
            </control>
          </mc:Choice>
        </mc:AlternateContent>
        <mc:AlternateContent xmlns:mc="http://schemas.openxmlformats.org/markup-compatibility/2006">
          <mc:Choice Requires="x14">
            <control shapeId="2147" r:id="rId43" name="Check Box 99">
              <controlPr defaultSize="0" autoFill="0" autoLine="0" autoPict="0">
                <anchor moveWithCells="1">
                  <from>
                    <xdr:col>1</xdr:col>
                    <xdr:colOff>4267200</xdr:colOff>
                    <xdr:row>114</xdr:row>
                    <xdr:rowOff>9525</xdr:rowOff>
                  </from>
                  <to>
                    <xdr:col>1</xdr:col>
                    <xdr:colOff>4476750</xdr:colOff>
                    <xdr:row>115</xdr:row>
                    <xdr:rowOff>0</xdr:rowOff>
                  </to>
                </anchor>
              </controlPr>
            </control>
          </mc:Choice>
        </mc:AlternateContent>
        <mc:AlternateContent xmlns:mc="http://schemas.openxmlformats.org/markup-compatibility/2006">
          <mc:Choice Requires="x14">
            <control shapeId="2148" r:id="rId44" name="Check Box 100">
              <controlPr defaultSize="0" autoFill="0" autoLine="0" autoPict="0">
                <anchor moveWithCells="1">
                  <from>
                    <xdr:col>1</xdr:col>
                    <xdr:colOff>4267200</xdr:colOff>
                    <xdr:row>116</xdr:row>
                    <xdr:rowOff>9525</xdr:rowOff>
                  </from>
                  <to>
                    <xdr:col>1</xdr:col>
                    <xdr:colOff>4476750</xdr:colOff>
                    <xdr:row>117</xdr:row>
                    <xdr:rowOff>0</xdr:rowOff>
                  </to>
                </anchor>
              </controlPr>
            </control>
          </mc:Choice>
        </mc:AlternateContent>
        <mc:AlternateContent xmlns:mc="http://schemas.openxmlformats.org/markup-compatibility/2006">
          <mc:Choice Requires="x14">
            <control shapeId="2149" r:id="rId45" name="Check Box 101">
              <controlPr defaultSize="0" autoFill="0" autoLine="0" autoPict="0">
                <anchor moveWithCells="1">
                  <from>
                    <xdr:col>1</xdr:col>
                    <xdr:colOff>4267200</xdr:colOff>
                    <xdr:row>118</xdr:row>
                    <xdr:rowOff>9525</xdr:rowOff>
                  </from>
                  <to>
                    <xdr:col>1</xdr:col>
                    <xdr:colOff>4476750</xdr:colOff>
                    <xdr:row>119</xdr:row>
                    <xdr:rowOff>0</xdr:rowOff>
                  </to>
                </anchor>
              </controlPr>
            </control>
          </mc:Choice>
        </mc:AlternateContent>
        <mc:AlternateContent xmlns:mc="http://schemas.openxmlformats.org/markup-compatibility/2006">
          <mc:Choice Requires="x14">
            <control shapeId="2150" r:id="rId46" name="Check Box 102">
              <controlPr defaultSize="0" autoFill="0" autoLine="0" autoPict="0">
                <anchor moveWithCells="1">
                  <from>
                    <xdr:col>1</xdr:col>
                    <xdr:colOff>4267200</xdr:colOff>
                    <xdr:row>182</xdr:row>
                    <xdr:rowOff>9525</xdr:rowOff>
                  </from>
                  <to>
                    <xdr:col>1</xdr:col>
                    <xdr:colOff>4476750</xdr:colOff>
                    <xdr:row>183</xdr:row>
                    <xdr:rowOff>0</xdr:rowOff>
                  </to>
                </anchor>
              </controlPr>
            </control>
          </mc:Choice>
        </mc:AlternateContent>
        <mc:AlternateContent xmlns:mc="http://schemas.openxmlformats.org/markup-compatibility/2006">
          <mc:Choice Requires="x14">
            <control shapeId="2151" r:id="rId47" name="Check Box 103">
              <controlPr defaultSize="0" autoFill="0" autoLine="0" autoPict="0">
                <anchor moveWithCells="1">
                  <from>
                    <xdr:col>1</xdr:col>
                    <xdr:colOff>4267200</xdr:colOff>
                    <xdr:row>184</xdr:row>
                    <xdr:rowOff>9525</xdr:rowOff>
                  </from>
                  <to>
                    <xdr:col>1</xdr:col>
                    <xdr:colOff>4476750</xdr:colOff>
                    <xdr:row>185</xdr:row>
                    <xdr:rowOff>0</xdr:rowOff>
                  </to>
                </anchor>
              </controlPr>
            </control>
          </mc:Choice>
        </mc:AlternateContent>
        <mc:AlternateContent xmlns:mc="http://schemas.openxmlformats.org/markup-compatibility/2006">
          <mc:Choice Requires="x14">
            <control shapeId="2152" r:id="rId48" name="Check Box 104">
              <controlPr defaultSize="0" autoFill="0" autoLine="0" autoPict="0">
                <anchor moveWithCells="1">
                  <from>
                    <xdr:col>1</xdr:col>
                    <xdr:colOff>4267200</xdr:colOff>
                    <xdr:row>186</xdr:row>
                    <xdr:rowOff>9525</xdr:rowOff>
                  </from>
                  <to>
                    <xdr:col>1</xdr:col>
                    <xdr:colOff>4476750</xdr:colOff>
                    <xdr:row>187</xdr:row>
                    <xdr:rowOff>0</xdr:rowOff>
                  </to>
                </anchor>
              </controlPr>
            </control>
          </mc:Choice>
        </mc:AlternateContent>
        <mc:AlternateContent xmlns:mc="http://schemas.openxmlformats.org/markup-compatibility/2006">
          <mc:Choice Requires="x14">
            <control shapeId="2153" r:id="rId49" name="Check Box 105">
              <controlPr defaultSize="0" autoFill="0" autoLine="0" autoPict="0">
                <anchor moveWithCells="1">
                  <from>
                    <xdr:col>1</xdr:col>
                    <xdr:colOff>4267200</xdr:colOff>
                    <xdr:row>188</xdr:row>
                    <xdr:rowOff>9525</xdr:rowOff>
                  </from>
                  <to>
                    <xdr:col>1</xdr:col>
                    <xdr:colOff>4476750</xdr:colOff>
                    <xdr:row>189</xdr:row>
                    <xdr:rowOff>0</xdr:rowOff>
                  </to>
                </anchor>
              </controlPr>
            </control>
          </mc:Choice>
        </mc:AlternateContent>
        <mc:AlternateContent xmlns:mc="http://schemas.openxmlformats.org/markup-compatibility/2006">
          <mc:Choice Requires="x14">
            <control shapeId="2154" r:id="rId50" name="Check Box 106">
              <controlPr defaultSize="0" autoFill="0" autoLine="0" autoPict="0">
                <anchor moveWithCells="1">
                  <from>
                    <xdr:col>1</xdr:col>
                    <xdr:colOff>4267200</xdr:colOff>
                    <xdr:row>190</xdr:row>
                    <xdr:rowOff>9525</xdr:rowOff>
                  </from>
                  <to>
                    <xdr:col>1</xdr:col>
                    <xdr:colOff>4476750</xdr:colOff>
                    <xdr:row>191</xdr:row>
                    <xdr:rowOff>0</xdr:rowOff>
                  </to>
                </anchor>
              </controlPr>
            </control>
          </mc:Choice>
        </mc:AlternateContent>
        <mc:AlternateContent xmlns:mc="http://schemas.openxmlformats.org/markup-compatibility/2006">
          <mc:Choice Requires="x14">
            <control shapeId="2155" r:id="rId51" name="Check Box 107">
              <controlPr defaultSize="0" autoFill="0" autoLine="0" autoPict="0">
                <anchor moveWithCells="1">
                  <from>
                    <xdr:col>1</xdr:col>
                    <xdr:colOff>4267200</xdr:colOff>
                    <xdr:row>192</xdr:row>
                    <xdr:rowOff>9525</xdr:rowOff>
                  </from>
                  <to>
                    <xdr:col>1</xdr:col>
                    <xdr:colOff>4476750</xdr:colOff>
                    <xdr:row>193</xdr:row>
                    <xdr:rowOff>0</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1</xdr:col>
                    <xdr:colOff>4267200</xdr:colOff>
                    <xdr:row>49</xdr:row>
                    <xdr:rowOff>9525</xdr:rowOff>
                  </from>
                  <to>
                    <xdr:col>1</xdr:col>
                    <xdr:colOff>4476750</xdr:colOff>
                    <xdr:row>50</xdr:row>
                    <xdr:rowOff>0</xdr:rowOff>
                  </to>
                </anchor>
              </controlPr>
            </control>
          </mc:Choice>
        </mc:AlternateContent>
        <mc:AlternateContent xmlns:mc="http://schemas.openxmlformats.org/markup-compatibility/2006">
          <mc:Choice Requires="x14">
            <control shapeId="2158" r:id="rId53" name="Check Box 110">
              <controlPr defaultSize="0" autoFill="0" autoLine="0" autoPict="0">
                <anchor moveWithCells="1">
                  <from>
                    <xdr:col>1</xdr:col>
                    <xdr:colOff>4267200</xdr:colOff>
                    <xdr:row>50</xdr:row>
                    <xdr:rowOff>9525</xdr:rowOff>
                  </from>
                  <to>
                    <xdr:col>1</xdr:col>
                    <xdr:colOff>4476750</xdr:colOff>
                    <xdr:row>51</xdr:row>
                    <xdr:rowOff>0</xdr:rowOff>
                  </to>
                </anchor>
              </controlPr>
            </control>
          </mc:Choice>
        </mc:AlternateContent>
        <mc:AlternateContent xmlns:mc="http://schemas.openxmlformats.org/markup-compatibility/2006">
          <mc:Choice Requires="x14">
            <control shapeId="2159" r:id="rId54" name="Check Box 111">
              <controlPr defaultSize="0" autoFill="0" autoLine="0" autoPict="0">
                <anchor moveWithCells="1">
                  <from>
                    <xdr:col>1</xdr:col>
                    <xdr:colOff>4267200</xdr:colOff>
                    <xdr:row>51</xdr:row>
                    <xdr:rowOff>9525</xdr:rowOff>
                  </from>
                  <to>
                    <xdr:col>1</xdr:col>
                    <xdr:colOff>4476750</xdr:colOff>
                    <xdr:row>52</xdr:row>
                    <xdr:rowOff>0</xdr:rowOff>
                  </to>
                </anchor>
              </controlPr>
            </control>
          </mc:Choice>
        </mc:AlternateContent>
        <mc:AlternateContent xmlns:mc="http://schemas.openxmlformats.org/markup-compatibility/2006">
          <mc:Choice Requires="x14">
            <control shapeId="2160" r:id="rId55" name="Check Box 112">
              <controlPr defaultSize="0" autoFill="0" autoLine="0" autoPict="0">
                <anchor moveWithCells="1">
                  <from>
                    <xdr:col>1</xdr:col>
                    <xdr:colOff>4267200</xdr:colOff>
                    <xdr:row>52</xdr:row>
                    <xdr:rowOff>9525</xdr:rowOff>
                  </from>
                  <to>
                    <xdr:col>1</xdr:col>
                    <xdr:colOff>4476750</xdr:colOff>
                    <xdr:row>53</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from>
                    <xdr:col>1</xdr:col>
                    <xdr:colOff>4267200</xdr:colOff>
                    <xdr:row>53</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from>
                    <xdr:col>1</xdr:col>
                    <xdr:colOff>4267200</xdr:colOff>
                    <xdr:row>54</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3" r:id="rId58" name="Check Box 115">
              <controlPr defaultSize="0" autoFill="0" autoLine="0" autoPict="0">
                <anchor moveWithCells="1">
                  <from>
                    <xdr:col>1</xdr:col>
                    <xdr:colOff>4267200</xdr:colOff>
                    <xdr:row>55</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4" r:id="rId59" name="Check Box 116">
              <controlPr defaultSize="0" autoFill="0" autoLine="0" autoPict="0">
                <anchor moveWithCells="1">
                  <from>
                    <xdr:col>1</xdr:col>
                    <xdr:colOff>4267200</xdr:colOff>
                    <xdr:row>56</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5" r:id="rId60" name="Check Box 117">
              <controlPr defaultSize="0" autoFill="0" autoLine="0" autoPict="0">
                <anchor moveWithCells="1">
                  <from>
                    <xdr:col>1</xdr:col>
                    <xdr:colOff>4267200</xdr:colOff>
                    <xdr:row>57</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6" r:id="rId61" name="Check Box 118">
              <controlPr defaultSize="0" autoFill="0" autoLine="0" autoPict="0">
                <anchor moveWithCells="1">
                  <from>
                    <xdr:col>1</xdr:col>
                    <xdr:colOff>4267200</xdr:colOff>
                    <xdr:row>58</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7" r:id="rId62" name="Check Box 119">
              <controlPr defaultSize="0" autoFill="0" autoLine="0" autoPict="0">
                <anchor moveWithCells="1">
                  <from>
                    <xdr:col>1</xdr:col>
                    <xdr:colOff>4267200</xdr:colOff>
                    <xdr:row>59</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8" r:id="rId63" name="Check Box 120">
              <controlPr defaultSize="0" autoFill="0" autoLine="0" autoPict="0">
                <anchor moveWithCells="1">
                  <from>
                    <xdr:col>1</xdr:col>
                    <xdr:colOff>4267200</xdr:colOff>
                    <xdr:row>60</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9" r:id="rId64" name="Check Box 121">
              <controlPr defaultSize="0" autoFill="0" autoLine="0" autoPict="0">
                <anchor moveWithCells="1">
                  <from>
                    <xdr:col>1</xdr:col>
                    <xdr:colOff>4267200</xdr:colOff>
                    <xdr:row>61</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70" r:id="rId65" name="Check Box 122">
              <controlPr defaultSize="0" autoFill="0" autoLine="0" autoPict="0">
                <anchor moveWithCells="1">
                  <from>
                    <xdr:col>1</xdr:col>
                    <xdr:colOff>4267200</xdr:colOff>
                    <xdr:row>62</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71" r:id="rId66" name="Check Box 123">
              <controlPr defaultSize="0" autoFill="0" autoLine="0" autoPict="0">
                <anchor moveWithCells="1">
                  <from>
                    <xdr:col>1</xdr:col>
                    <xdr:colOff>4267200</xdr:colOff>
                    <xdr:row>123</xdr:row>
                    <xdr:rowOff>9525</xdr:rowOff>
                  </from>
                  <to>
                    <xdr:col>1</xdr:col>
                    <xdr:colOff>4476750</xdr:colOff>
                    <xdr:row>124</xdr:row>
                    <xdr:rowOff>0</xdr:rowOff>
                  </to>
                </anchor>
              </controlPr>
            </control>
          </mc:Choice>
        </mc:AlternateContent>
        <mc:AlternateContent xmlns:mc="http://schemas.openxmlformats.org/markup-compatibility/2006">
          <mc:Choice Requires="x14">
            <control shapeId="2172" r:id="rId67" name="Check Box 124">
              <controlPr defaultSize="0" autoFill="0" autoLine="0" autoPict="0">
                <anchor moveWithCells="1">
                  <from>
                    <xdr:col>1</xdr:col>
                    <xdr:colOff>4267200</xdr:colOff>
                    <xdr:row>124</xdr:row>
                    <xdr:rowOff>9525</xdr:rowOff>
                  </from>
                  <to>
                    <xdr:col>1</xdr:col>
                    <xdr:colOff>4476750</xdr:colOff>
                    <xdr:row>125</xdr:row>
                    <xdr:rowOff>0</xdr:rowOff>
                  </to>
                </anchor>
              </controlPr>
            </control>
          </mc:Choice>
        </mc:AlternateContent>
        <mc:AlternateContent xmlns:mc="http://schemas.openxmlformats.org/markup-compatibility/2006">
          <mc:Choice Requires="x14">
            <control shapeId="2173" r:id="rId68" name="Check Box 125">
              <controlPr defaultSize="0" autoFill="0" autoLine="0" autoPict="0">
                <anchor moveWithCells="1">
                  <from>
                    <xdr:col>1</xdr:col>
                    <xdr:colOff>4267200</xdr:colOff>
                    <xdr:row>125</xdr:row>
                    <xdr:rowOff>9525</xdr:rowOff>
                  </from>
                  <to>
                    <xdr:col>1</xdr:col>
                    <xdr:colOff>4476750</xdr:colOff>
                    <xdr:row>126</xdr:row>
                    <xdr:rowOff>0</xdr:rowOff>
                  </to>
                </anchor>
              </controlPr>
            </control>
          </mc:Choice>
        </mc:AlternateContent>
        <mc:AlternateContent xmlns:mc="http://schemas.openxmlformats.org/markup-compatibility/2006">
          <mc:Choice Requires="x14">
            <control shapeId="2174" r:id="rId69" name="Check Box 126">
              <controlPr defaultSize="0" autoFill="0" autoLine="0" autoPict="0">
                <anchor moveWithCells="1">
                  <from>
                    <xdr:col>1</xdr:col>
                    <xdr:colOff>4267200</xdr:colOff>
                    <xdr:row>126</xdr:row>
                    <xdr:rowOff>9525</xdr:rowOff>
                  </from>
                  <to>
                    <xdr:col>1</xdr:col>
                    <xdr:colOff>4476750</xdr:colOff>
                    <xdr:row>127</xdr:row>
                    <xdr:rowOff>0</xdr:rowOff>
                  </to>
                </anchor>
              </controlPr>
            </control>
          </mc:Choice>
        </mc:AlternateContent>
        <mc:AlternateContent xmlns:mc="http://schemas.openxmlformats.org/markup-compatibility/2006">
          <mc:Choice Requires="x14">
            <control shapeId="2175" r:id="rId70" name="Check Box 127">
              <controlPr defaultSize="0" autoFill="0" autoLine="0" autoPict="0">
                <anchor moveWithCells="1">
                  <from>
                    <xdr:col>1</xdr:col>
                    <xdr:colOff>4267200</xdr:colOff>
                    <xdr:row>127</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6" r:id="rId71" name="Check Box 128">
              <controlPr defaultSize="0" autoFill="0" autoLine="0" autoPict="0">
                <anchor moveWithCells="1">
                  <from>
                    <xdr:col>1</xdr:col>
                    <xdr:colOff>4267200</xdr:colOff>
                    <xdr:row>128</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7" r:id="rId72" name="Check Box 129">
              <controlPr defaultSize="0" autoFill="0" autoLine="0" autoPict="0">
                <anchor moveWithCells="1">
                  <from>
                    <xdr:col>1</xdr:col>
                    <xdr:colOff>4267200</xdr:colOff>
                    <xdr:row>129</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8" r:id="rId73" name="Check Box 130">
              <controlPr defaultSize="0" autoFill="0" autoLine="0" autoPict="0">
                <anchor moveWithCells="1">
                  <from>
                    <xdr:col>1</xdr:col>
                    <xdr:colOff>4267200</xdr:colOff>
                    <xdr:row>130</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9" r:id="rId74" name="Check Box 131">
              <controlPr defaultSize="0" autoFill="0" autoLine="0" autoPict="0">
                <anchor moveWithCells="1">
                  <from>
                    <xdr:col>1</xdr:col>
                    <xdr:colOff>4267200</xdr:colOff>
                    <xdr:row>131</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0" r:id="rId75" name="Check Box 132">
              <controlPr defaultSize="0" autoFill="0" autoLine="0" autoPict="0">
                <anchor moveWithCells="1">
                  <from>
                    <xdr:col>1</xdr:col>
                    <xdr:colOff>4267200</xdr:colOff>
                    <xdr:row>132</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1" r:id="rId76" name="Check Box 133">
              <controlPr defaultSize="0" autoFill="0" autoLine="0" autoPict="0">
                <anchor moveWithCells="1">
                  <from>
                    <xdr:col>1</xdr:col>
                    <xdr:colOff>4267200</xdr:colOff>
                    <xdr:row>133</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2" r:id="rId77" name="Check Box 134">
              <controlPr defaultSize="0" autoFill="0" autoLine="0" autoPict="0">
                <anchor moveWithCells="1">
                  <from>
                    <xdr:col>1</xdr:col>
                    <xdr:colOff>4267200</xdr:colOff>
                    <xdr:row>134</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3" r:id="rId78" name="Check Box 135">
              <controlPr defaultSize="0" autoFill="0" autoLine="0" autoPict="0">
                <anchor moveWithCells="1">
                  <from>
                    <xdr:col>1</xdr:col>
                    <xdr:colOff>4267200</xdr:colOff>
                    <xdr:row>135</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4" r:id="rId79" name="Check Box 136">
              <controlPr defaultSize="0" autoFill="0" autoLine="0" autoPict="0">
                <anchor moveWithCells="1">
                  <from>
                    <xdr:col>1</xdr:col>
                    <xdr:colOff>4267200</xdr:colOff>
                    <xdr:row>136</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5" r:id="rId80" name="Check Box 137">
              <controlPr defaultSize="0" autoFill="0" autoLine="0" autoPict="0">
                <anchor moveWithCells="1">
                  <from>
                    <xdr:col>1</xdr:col>
                    <xdr:colOff>4267200</xdr:colOff>
                    <xdr:row>197</xdr:row>
                    <xdr:rowOff>9525</xdr:rowOff>
                  </from>
                  <to>
                    <xdr:col>1</xdr:col>
                    <xdr:colOff>4476750</xdr:colOff>
                    <xdr:row>198</xdr:row>
                    <xdr:rowOff>0</xdr:rowOff>
                  </to>
                </anchor>
              </controlPr>
            </control>
          </mc:Choice>
        </mc:AlternateContent>
        <mc:AlternateContent xmlns:mc="http://schemas.openxmlformats.org/markup-compatibility/2006">
          <mc:Choice Requires="x14">
            <control shapeId="2186" r:id="rId81" name="Check Box 138">
              <controlPr defaultSize="0" autoFill="0" autoLine="0" autoPict="0">
                <anchor moveWithCells="1">
                  <from>
                    <xdr:col>1</xdr:col>
                    <xdr:colOff>4267200</xdr:colOff>
                    <xdr:row>198</xdr:row>
                    <xdr:rowOff>9525</xdr:rowOff>
                  </from>
                  <to>
                    <xdr:col>1</xdr:col>
                    <xdr:colOff>4476750</xdr:colOff>
                    <xdr:row>199</xdr:row>
                    <xdr:rowOff>0</xdr:rowOff>
                  </to>
                </anchor>
              </controlPr>
            </control>
          </mc:Choice>
        </mc:AlternateContent>
        <mc:AlternateContent xmlns:mc="http://schemas.openxmlformats.org/markup-compatibility/2006">
          <mc:Choice Requires="x14">
            <control shapeId="2187" r:id="rId82" name="Check Box 139">
              <controlPr defaultSize="0" autoFill="0" autoLine="0" autoPict="0">
                <anchor moveWithCells="1">
                  <from>
                    <xdr:col>1</xdr:col>
                    <xdr:colOff>4267200</xdr:colOff>
                    <xdr:row>199</xdr:row>
                    <xdr:rowOff>9525</xdr:rowOff>
                  </from>
                  <to>
                    <xdr:col>1</xdr:col>
                    <xdr:colOff>4476750</xdr:colOff>
                    <xdr:row>200</xdr:row>
                    <xdr:rowOff>0</xdr:rowOff>
                  </to>
                </anchor>
              </controlPr>
            </control>
          </mc:Choice>
        </mc:AlternateContent>
        <mc:AlternateContent xmlns:mc="http://schemas.openxmlformats.org/markup-compatibility/2006">
          <mc:Choice Requires="x14">
            <control shapeId="2188" r:id="rId83" name="Check Box 140">
              <controlPr defaultSize="0" autoFill="0" autoLine="0" autoPict="0">
                <anchor moveWithCells="1">
                  <from>
                    <xdr:col>1</xdr:col>
                    <xdr:colOff>4267200</xdr:colOff>
                    <xdr:row>200</xdr:row>
                    <xdr:rowOff>9525</xdr:rowOff>
                  </from>
                  <to>
                    <xdr:col>1</xdr:col>
                    <xdr:colOff>4476750</xdr:colOff>
                    <xdr:row>201</xdr:row>
                    <xdr:rowOff>0</xdr:rowOff>
                  </to>
                </anchor>
              </controlPr>
            </control>
          </mc:Choice>
        </mc:AlternateContent>
        <mc:AlternateContent xmlns:mc="http://schemas.openxmlformats.org/markup-compatibility/2006">
          <mc:Choice Requires="x14">
            <control shapeId="2189" r:id="rId84" name="Check Box 141">
              <controlPr defaultSize="0" autoFill="0" autoLine="0" autoPict="0">
                <anchor moveWithCells="1">
                  <from>
                    <xdr:col>1</xdr:col>
                    <xdr:colOff>4267200</xdr:colOff>
                    <xdr:row>201</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0" r:id="rId85" name="Check Box 142">
              <controlPr defaultSize="0" autoFill="0" autoLine="0" autoPict="0">
                <anchor moveWithCells="1">
                  <from>
                    <xdr:col>1</xdr:col>
                    <xdr:colOff>4267200</xdr:colOff>
                    <xdr:row>202</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1" r:id="rId86" name="Check Box 143">
              <controlPr defaultSize="0" autoFill="0" autoLine="0" autoPict="0">
                <anchor moveWithCells="1">
                  <from>
                    <xdr:col>1</xdr:col>
                    <xdr:colOff>4267200</xdr:colOff>
                    <xdr:row>203</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2" r:id="rId87" name="Check Box 144">
              <controlPr defaultSize="0" autoFill="0" autoLine="0" autoPict="0">
                <anchor moveWithCells="1">
                  <from>
                    <xdr:col>1</xdr:col>
                    <xdr:colOff>4267200</xdr:colOff>
                    <xdr:row>204</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3" r:id="rId88" name="Check Box 145">
              <controlPr defaultSize="0" autoFill="0" autoLine="0" autoPict="0">
                <anchor moveWithCells="1">
                  <from>
                    <xdr:col>1</xdr:col>
                    <xdr:colOff>4267200</xdr:colOff>
                    <xdr:row>205</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4" r:id="rId89" name="Check Box 146">
              <controlPr defaultSize="0" autoFill="0" autoLine="0" autoPict="0">
                <anchor moveWithCells="1">
                  <from>
                    <xdr:col>1</xdr:col>
                    <xdr:colOff>4267200</xdr:colOff>
                    <xdr:row>206</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5" r:id="rId90" name="Check Box 147">
              <controlPr defaultSize="0" autoFill="0" autoLine="0" autoPict="0">
                <anchor moveWithCells="1">
                  <from>
                    <xdr:col>1</xdr:col>
                    <xdr:colOff>4267200</xdr:colOff>
                    <xdr:row>207</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6" r:id="rId91" name="Check Box 148">
              <controlPr defaultSize="0" autoFill="0" autoLine="0" autoPict="0">
                <anchor moveWithCells="1">
                  <from>
                    <xdr:col>1</xdr:col>
                    <xdr:colOff>4267200</xdr:colOff>
                    <xdr:row>208</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7" r:id="rId92" name="Check Box 149">
              <controlPr defaultSize="0" autoFill="0" autoLine="0" autoPict="0">
                <anchor moveWithCells="1">
                  <from>
                    <xdr:col>1</xdr:col>
                    <xdr:colOff>4267200</xdr:colOff>
                    <xdr:row>209</xdr:row>
                    <xdr:rowOff>9525</xdr:rowOff>
                  </from>
                  <to>
                    <xdr:col>1</xdr:col>
                    <xdr:colOff>4476750</xdr:colOff>
                    <xdr:row>211</xdr:row>
                    <xdr:rowOff>180975</xdr:rowOff>
                  </to>
                </anchor>
              </controlPr>
            </control>
          </mc:Choice>
        </mc:AlternateContent>
        <mc:AlternateContent xmlns:mc="http://schemas.openxmlformats.org/markup-compatibility/2006">
          <mc:Choice Requires="x14">
            <control shapeId="2198" r:id="rId93" name="Check Box 150">
              <controlPr defaultSize="0" autoFill="0" autoLine="0" autoPict="0">
                <anchor moveWithCells="1">
                  <from>
                    <xdr:col>1</xdr:col>
                    <xdr:colOff>4267200</xdr:colOff>
                    <xdr:row>210</xdr:row>
                    <xdr:rowOff>9525</xdr:rowOff>
                  </from>
                  <to>
                    <xdr:col>1</xdr:col>
                    <xdr:colOff>4476750</xdr:colOff>
                    <xdr:row>211</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0000000}">
          <x14:formula1>
            <xm:f>'typy žadatelů'!$B$78:$B$80</xm:f>
          </x14:formula1>
          <xm:sqref>E13:G16</xm:sqref>
        </x14:dataValidation>
        <x14:dataValidation type="list" allowBlank="1" showInputMessage="1" showErrorMessage="1" xr:uid="{00000000-0002-0000-0D00-000001000000}">
          <x14:formula1>
            <xm:f>Výpočty!$B$2:$B$6</xm:f>
          </x14:formula1>
          <xm:sqref>E11:G11</xm:sqref>
        </x14:dataValidation>
        <x14:dataValidation type="list" allowBlank="1" showInputMessage="1" showErrorMessage="1" xr:uid="{00000000-0002-0000-0D00-000002000000}">
          <x14:formula1>
            <xm:f>Výpočty!$B$35:$B$37</xm:f>
          </x14:formula1>
          <xm:sqref>E17:G17</xm:sqref>
        </x14:dataValidation>
        <x14:dataValidation type="list" allowBlank="1" showInputMessage="1" showErrorMessage="1" xr:uid="{00000000-0002-0000-0D00-000003000000}">
          <x14:formula1>
            <xm:f>Výpočty!$B$61:$B$62</xm:f>
          </x14:formula1>
          <xm:sqref>D46:D49 D120:D123 C34:C63 D34 D36 D38 D40 D42 D44 C108:C137 D108 D110 D112 D114 D116 D118 C182:C211 D182 D184 D186 D188 D190 D192 D194:D197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2:L108"/>
  <sheetViews>
    <sheetView topLeftCell="A50" zoomScale="85" zoomScaleNormal="85" workbookViewId="0">
      <selection activeCell="B115" sqref="B115"/>
    </sheetView>
  </sheetViews>
  <sheetFormatPr defaultRowHeight="15.75" x14ac:dyDescent="0.25"/>
  <cols>
    <col min="2" max="2" width="39" customWidth="1"/>
    <col min="3" max="3" width="20.125" customWidth="1"/>
    <col min="4" max="4" width="15" customWidth="1"/>
    <col min="5" max="5" width="22.625" customWidth="1"/>
    <col min="8" max="8" width="10.375" customWidth="1"/>
    <col min="9" max="9" width="14.125" customWidth="1"/>
    <col min="10" max="10" width="12.5" customWidth="1"/>
    <col min="11" max="11" width="13.75" customWidth="1"/>
    <col min="12" max="12" width="43.75" customWidth="1"/>
  </cols>
  <sheetData>
    <row r="2" spans="2:12" x14ac:dyDescent="0.25">
      <c r="B2" s="92" t="s">
        <v>71</v>
      </c>
      <c r="D2" s="92" t="s">
        <v>260</v>
      </c>
      <c r="H2" s="784" t="s">
        <v>267</v>
      </c>
      <c r="I2" s="785"/>
      <c r="J2" s="785"/>
      <c r="K2" s="785"/>
      <c r="L2" s="786"/>
    </row>
    <row r="3" spans="2:12" x14ac:dyDescent="0.25">
      <c r="B3" s="93" t="s">
        <v>2</v>
      </c>
      <c r="D3" s="93" t="s">
        <v>2</v>
      </c>
      <c r="H3" s="71" t="s">
        <v>264</v>
      </c>
      <c r="I3" s="72" t="s">
        <v>245</v>
      </c>
      <c r="J3" s="72" t="s">
        <v>265</v>
      </c>
      <c r="K3" s="72" t="s">
        <v>266</v>
      </c>
      <c r="L3" s="73" t="s">
        <v>271</v>
      </c>
    </row>
    <row r="4" spans="2:12" ht="16.5" thickBot="1" x14ac:dyDescent="0.3">
      <c r="B4" s="93" t="s">
        <v>3</v>
      </c>
      <c r="D4" s="94" t="s">
        <v>3</v>
      </c>
      <c r="H4" s="71" t="s">
        <v>270</v>
      </c>
      <c r="I4" s="72" t="s">
        <v>270</v>
      </c>
      <c r="J4" s="72" t="s">
        <v>270</v>
      </c>
      <c r="K4" s="72" t="s">
        <v>270</v>
      </c>
      <c r="L4" s="787" t="str">
        <f>IF(AND(H6="N",I6="N",J6="N",K6="N"),"Nejprve vyplňte předchozí list za žadatele.",IF(AND(H6="A",I6="N",J6="N",K6="N"),'2. Účetnictví'!E4,IF(AND(H6="N",I6="A",J6="N",K6="N"),'2. Jednoduché účetnictví '!E4,IF(AND(H6="N",I6="N",J6="A",K6="N"),'2. Daňová evidence'!E4,IF(AND(H6="N",I6="N",J6="N",K6="A"),'2. Paušální (výdaje, daň)'!E4,"Duplicitní zápis NÁZVU na předchozích listech!")))))</f>
        <v>Nejprve vyplňte předchozí list za žadatele.</v>
      </c>
    </row>
    <row r="5" spans="2:12" ht="16.5" thickBot="1" x14ac:dyDescent="0.3">
      <c r="B5" s="94" t="s">
        <v>368</v>
      </c>
      <c r="H5" s="71">
        <f>LEN('2. Účetnictví'!E4)</f>
        <v>0</v>
      </c>
      <c r="I5" s="72">
        <f>LEN('2. Jednoduché účetnictví '!E4)</f>
        <v>0</v>
      </c>
      <c r="J5" s="72">
        <f>LEN('2. Daňová evidence'!E4)</f>
        <v>0</v>
      </c>
      <c r="K5" s="72">
        <f>LEN('2. Paušální (výdaje, daň)'!E4)</f>
        <v>0</v>
      </c>
      <c r="L5" s="788"/>
    </row>
    <row r="6" spans="2:12" ht="16.5" thickBot="1" x14ac:dyDescent="0.3">
      <c r="H6" s="74" t="str">
        <f>IF(H5&lt;3,"N","A")</f>
        <v>N</v>
      </c>
      <c r="I6" s="75" t="str">
        <f>IF(I5&lt;3,"N","A")</f>
        <v>N</v>
      </c>
      <c r="J6" s="75" t="str">
        <f>IF(J5&lt;3,"N","A")</f>
        <v>N</v>
      </c>
      <c r="K6" s="75" t="str">
        <f>IF(K5&lt;3,"N","A")</f>
        <v>N</v>
      </c>
      <c r="L6" s="789"/>
    </row>
    <row r="7" spans="2:12" ht="16.5" thickBot="1" x14ac:dyDescent="0.3">
      <c r="B7" s="92" t="s">
        <v>71</v>
      </c>
    </row>
    <row r="8" spans="2:12" x14ac:dyDescent="0.25">
      <c r="B8" s="93" t="s">
        <v>374</v>
      </c>
      <c r="H8" s="784" t="s">
        <v>268</v>
      </c>
      <c r="I8" s="785"/>
      <c r="J8" s="785"/>
      <c r="K8" s="785"/>
      <c r="L8" s="786"/>
    </row>
    <row r="9" spans="2:12" ht="16.5" thickBot="1" x14ac:dyDescent="0.3">
      <c r="B9" s="94" t="s">
        <v>375</v>
      </c>
      <c r="H9" s="71" t="s">
        <v>264</v>
      </c>
      <c r="I9" s="72" t="s">
        <v>245</v>
      </c>
      <c r="J9" s="72" t="s">
        <v>265</v>
      </c>
      <c r="K9" s="72" t="s">
        <v>269</v>
      </c>
      <c r="L9" s="73" t="s">
        <v>271</v>
      </c>
    </row>
    <row r="10" spans="2:12" x14ac:dyDescent="0.25">
      <c r="H10" s="71" t="s">
        <v>270</v>
      </c>
      <c r="I10" s="72" t="s">
        <v>270</v>
      </c>
      <c r="J10" s="72" t="s">
        <v>270</v>
      </c>
      <c r="K10" s="72" t="s">
        <v>270</v>
      </c>
      <c r="L10" s="782" t="str">
        <f>IF(AND(H12="N",I12="N",J12="N",K12="N"),"Nejprve vyplňte předchozí list za žadatele.",IF(AND(H12="A",I12="N",J12="N",K12="N"),'2. Účetnictví'!E6,IF(AND(H12="N",I12="A",J12="N",K12="N"),'2. Jednoduché účetnictví '!E6,IF(AND(H12="N",I12="N",J12="A",K12="N"),'2. Daňová evidence'!E6,IF(AND(H12="N",I12="N",J12="N",K12="A"),'2. Paušální (výdaje, daň)'!E6,"Duplicitní zápis IČ na předchozích listech!")))))</f>
        <v>Nejprve vyplňte předchozí list za žadatele.</v>
      </c>
    </row>
    <row r="11" spans="2:12" ht="16.5" thickBot="1" x14ac:dyDescent="0.3">
      <c r="H11" s="71">
        <f>LEN('2. Účetnictví'!E6)</f>
        <v>0</v>
      </c>
      <c r="I11" s="72">
        <f>LEN('2. Jednoduché účetnictví '!E6)</f>
        <v>0</v>
      </c>
      <c r="J11" s="72">
        <f>LEN('2. Daňová evidence'!E6)</f>
        <v>0</v>
      </c>
      <c r="K11" s="72">
        <f>LEN('2. Paušální (výdaje, daň)'!E6)</f>
        <v>0</v>
      </c>
      <c r="L11" s="782"/>
    </row>
    <row r="12" spans="2:12" ht="16.5" thickBot="1" x14ac:dyDescent="0.3">
      <c r="B12" s="92" t="s">
        <v>71</v>
      </c>
      <c r="H12" s="74" t="str">
        <f>IF(H11&lt;5,"N","A")</f>
        <v>N</v>
      </c>
      <c r="I12" s="75" t="str">
        <f>IF(I11&lt;5,"N","A")</f>
        <v>N</v>
      </c>
      <c r="J12" s="75" t="str">
        <f>IF(J11&lt;5,"N","A")</f>
        <v>N</v>
      </c>
      <c r="K12" s="75" t="str">
        <f>IF(K11&lt;5,"N","A")</f>
        <v>N</v>
      </c>
      <c r="L12" s="783"/>
    </row>
    <row r="13" spans="2:12" ht="16.5" thickBot="1" x14ac:dyDescent="0.3">
      <c r="B13" s="93" t="s">
        <v>390</v>
      </c>
    </row>
    <row r="14" spans="2:12" x14ac:dyDescent="0.25">
      <c r="B14" s="93" t="s">
        <v>398</v>
      </c>
      <c r="H14" s="784" t="s">
        <v>274</v>
      </c>
      <c r="I14" s="785"/>
      <c r="J14" s="785"/>
      <c r="K14" s="785"/>
      <c r="L14" s="786"/>
    </row>
    <row r="15" spans="2:12" x14ac:dyDescent="0.25">
      <c r="B15" s="93" t="s">
        <v>391</v>
      </c>
      <c r="H15" s="71" t="s">
        <v>264</v>
      </c>
      <c r="I15" s="72" t="s">
        <v>245</v>
      </c>
      <c r="J15" s="72" t="s">
        <v>265</v>
      </c>
      <c r="K15" s="72" t="s">
        <v>269</v>
      </c>
      <c r="L15" s="73" t="s">
        <v>271</v>
      </c>
    </row>
    <row r="16" spans="2:12" ht="16.5" thickBot="1" x14ac:dyDescent="0.3">
      <c r="B16" s="94" t="s">
        <v>399</v>
      </c>
      <c r="H16" s="71" t="s">
        <v>270</v>
      </c>
      <c r="I16" s="72" t="s">
        <v>270</v>
      </c>
      <c r="J16" s="72" t="s">
        <v>270</v>
      </c>
      <c r="K16" s="72" t="s">
        <v>270</v>
      </c>
      <c r="L16" s="782" t="str">
        <f>IF(AND(H18="N",I18="N",J18="N",K18="N"),"Nejprve vyplňte předchozí list za žadatele.",IF(AND(H18="A",I18="N",J18="N",K18="N"),'2. Účetnictví'!I12,IF(AND(H18="N",I18="A",J18="N",K18="N"),'2. Jednoduché účetnictví '!I11,IF(AND(H18="N",I18="N",J18="A",K18="N"),'2. Daňová evidence'!I11,IF(AND(H18="N",I18="N",J18="N",K18="A"),'2. Paušální (výdaje, daň)'!I11,"Duplicitní zápis ROKU na předchozích listech!")))))</f>
        <v>Nejprve vyplňte předchozí list za žadatele.</v>
      </c>
    </row>
    <row r="17" spans="2:12" ht="16.5" thickBot="1" x14ac:dyDescent="0.3">
      <c r="H17" s="71">
        <f>LEN('2. Účetnictví'!E11)</f>
        <v>0</v>
      </c>
      <c r="I17" s="72">
        <f>LEN('2. Jednoduché účetnictví '!E10)</f>
        <v>0</v>
      </c>
      <c r="J17" s="72">
        <f>LEN('2. Daňová evidence'!E10)</f>
        <v>0</v>
      </c>
      <c r="K17" s="72">
        <f>LEN('2. Paušální (výdaje, daň)'!E10)</f>
        <v>0</v>
      </c>
      <c r="L17" s="782"/>
    </row>
    <row r="18" spans="2:12" ht="16.5" thickBot="1" x14ac:dyDescent="0.3">
      <c r="B18" s="92" t="s">
        <v>71</v>
      </c>
      <c r="H18" s="74" t="str">
        <f>IF(H17=4,"A","N")</f>
        <v>N</v>
      </c>
      <c r="I18" s="75" t="str">
        <f>IF(I17=4,"A","N")</f>
        <v>N</v>
      </c>
      <c r="J18" s="75" t="str">
        <f>IF(J17=4,"A","N")</f>
        <v>N</v>
      </c>
      <c r="K18" s="75" t="str">
        <f>IF(K17=4,"A","N")</f>
        <v>N</v>
      </c>
      <c r="L18" s="783"/>
    </row>
    <row r="19" spans="2:12" ht="16.5" thickBot="1" x14ac:dyDescent="0.3">
      <c r="B19" s="93" t="s">
        <v>2</v>
      </c>
    </row>
    <row r="20" spans="2:12" ht="16.5" thickBot="1" x14ac:dyDescent="0.3">
      <c r="B20" s="94" t="s">
        <v>3</v>
      </c>
      <c r="H20" s="784" t="s">
        <v>493</v>
      </c>
      <c r="I20" s="785"/>
      <c r="J20" s="785"/>
      <c r="K20" s="785"/>
      <c r="L20" s="786"/>
    </row>
    <row r="21" spans="2:12" ht="16.5" thickBot="1" x14ac:dyDescent="0.3">
      <c r="H21" s="71" t="s">
        <v>264</v>
      </c>
      <c r="I21" s="72" t="s">
        <v>245</v>
      </c>
      <c r="J21" s="72" t="s">
        <v>265</v>
      </c>
      <c r="K21" s="72" t="s">
        <v>269</v>
      </c>
      <c r="L21" s="73" t="s">
        <v>271</v>
      </c>
    </row>
    <row r="22" spans="2:12" x14ac:dyDescent="0.25">
      <c r="B22" s="95" t="s">
        <v>71</v>
      </c>
      <c r="C22" s="96" t="s">
        <v>285</v>
      </c>
      <c r="E22" s="101" t="s">
        <v>320</v>
      </c>
      <c r="H22" s="71" t="s">
        <v>270</v>
      </c>
      <c r="I22" s="72" t="s">
        <v>270</v>
      </c>
      <c r="J22" s="72" t="s">
        <v>270</v>
      </c>
      <c r="K22" s="72" t="s">
        <v>270</v>
      </c>
      <c r="L22" s="782" t="str">
        <f>IF(AND(H24="N",I24="N",J24="N",K24="N"),"Nejprve vyplňte předchozí list za žadatele.",IF(AND(H24="A",I24="N",J24="N",K24="N"),'2. Účetnictví'!E11,IF(AND(H24="N",I24="A",J24="N",K24="N"),'2. Jednoduché účetnictví '!E10,IF(AND(H24="N",I24="N",J24="A",K24="N"),'2. Daňová evidence'!E10,IF(AND(H24="N",I24="N",J24="N",K24="A"),'2. Paušální (výdaje, daň)'!E10,"Duplicitní zápis ROKU na předchozích listech!")))))</f>
        <v>Nejprve vyplňte předchozí list za žadatele.</v>
      </c>
    </row>
    <row r="23" spans="2:12" ht="16.5" thickBot="1" x14ac:dyDescent="0.3">
      <c r="B23" s="97" t="s">
        <v>277</v>
      </c>
      <c r="C23" s="98">
        <v>410</v>
      </c>
      <c r="E23" s="102" t="s">
        <v>321</v>
      </c>
      <c r="H23" s="71">
        <f>LEN('2. Účetnictví'!E11)</f>
        <v>0</v>
      </c>
      <c r="I23" s="72">
        <f>LEN('2. Jednoduché účetnictví '!E10)</f>
        <v>0</v>
      </c>
      <c r="J23" s="72">
        <f>LEN('2. Daňová evidence'!E10)</f>
        <v>0</v>
      </c>
      <c r="K23" s="72">
        <f>LEN('2. Paušální (výdaje, daň)'!E10)</f>
        <v>0</v>
      </c>
      <c r="L23" s="782"/>
    </row>
    <row r="24" spans="2:12" ht="16.5" thickBot="1" x14ac:dyDescent="0.3">
      <c r="B24" s="97" t="s">
        <v>276</v>
      </c>
      <c r="C24" s="98">
        <v>500</v>
      </c>
      <c r="E24" s="76">
        <f>IF('2. Účetnictví'!E15=Výpočty!B23,1,IF('2. Účetnictví'!E15=Výpočty!B28,1,0))</f>
        <v>0</v>
      </c>
      <c r="H24" s="74" t="str">
        <f>IF(H23=4,"A","N")</f>
        <v>N</v>
      </c>
      <c r="I24" s="75" t="str">
        <f>IF(I23=4,"A","N")</f>
        <v>N</v>
      </c>
      <c r="J24" s="75" t="str">
        <f>IF(J23=4,"A","N")</f>
        <v>N</v>
      </c>
      <c r="K24" s="75" t="str">
        <f>IF(K23=4,"A","N")</f>
        <v>N</v>
      </c>
      <c r="L24" s="783"/>
    </row>
    <row r="25" spans="2:12" ht="16.5" thickBot="1" x14ac:dyDescent="0.3">
      <c r="B25" s="97" t="s">
        <v>278</v>
      </c>
      <c r="C25" s="98">
        <v>501</v>
      </c>
    </row>
    <row r="26" spans="2:12" x14ac:dyDescent="0.25">
      <c r="B26" s="97" t="s">
        <v>279</v>
      </c>
      <c r="C26" s="98">
        <v>502</v>
      </c>
      <c r="E26" s="101" t="s">
        <v>320</v>
      </c>
    </row>
    <row r="27" spans="2:12" ht="16.5" thickBot="1" x14ac:dyDescent="0.3">
      <c r="B27" s="97" t="s">
        <v>280</v>
      </c>
      <c r="C27" s="98">
        <v>503</v>
      </c>
      <c r="E27" s="102" t="s">
        <v>322</v>
      </c>
      <c r="H27" s="140" t="s">
        <v>467</v>
      </c>
      <c r="I27" s="141"/>
      <c r="J27" s="141"/>
      <c r="K27" s="141"/>
      <c r="L27" s="141"/>
    </row>
    <row r="28" spans="2:12" ht="16.5" thickBot="1" x14ac:dyDescent="0.3">
      <c r="B28" s="97" t="s">
        <v>281</v>
      </c>
      <c r="C28" s="98">
        <v>504</v>
      </c>
      <c r="E28" s="76">
        <f>IF('2. Účetnictví'!E15=Výpočty!B28,1,IF('2. Účetnictví'!E15=Výpočty!B23,1,IF('2. Účetnictví'!E15=Výpočty!B25,1,IF('2. Účetnictví'!E15=Výpočty!B27,1,0))))</f>
        <v>0</v>
      </c>
      <c r="H28" s="141" t="s">
        <v>468</v>
      </c>
      <c r="I28" s="141"/>
      <c r="J28" s="141"/>
      <c r="K28" s="141"/>
      <c r="L28" s="141"/>
    </row>
    <row r="29" spans="2:12" x14ac:dyDescent="0.25">
      <c r="B29" s="97" t="s">
        <v>282</v>
      </c>
      <c r="C29" s="98"/>
      <c r="H29" s="141" t="s">
        <v>469</v>
      </c>
      <c r="I29" s="141"/>
      <c r="J29" s="141"/>
      <c r="K29" s="141"/>
      <c r="L29" s="141"/>
    </row>
    <row r="30" spans="2:12" x14ac:dyDescent="0.25">
      <c r="B30" s="97" t="s">
        <v>284</v>
      </c>
      <c r="C30" s="98"/>
      <c r="H30" s="141"/>
      <c r="I30" s="141"/>
      <c r="J30" s="141"/>
      <c r="K30" s="141"/>
      <c r="L30" s="141"/>
    </row>
    <row r="31" spans="2:12" ht="16.5" thickBot="1" x14ac:dyDescent="0.3">
      <c r="B31" s="99" t="s">
        <v>283</v>
      </c>
      <c r="C31" s="100"/>
      <c r="H31" s="141" t="s">
        <v>470</v>
      </c>
      <c r="I31" s="141"/>
      <c r="J31" s="141"/>
      <c r="K31" s="141"/>
      <c r="L31" s="141"/>
    </row>
    <row r="32" spans="2:12" x14ac:dyDescent="0.25">
      <c r="H32" s="141" t="s">
        <v>471</v>
      </c>
      <c r="I32" s="141"/>
      <c r="J32" s="141"/>
      <c r="K32" s="141"/>
      <c r="L32" s="141"/>
    </row>
    <row r="35" spans="2:4" x14ac:dyDescent="0.25">
      <c r="B35" s="92" t="s">
        <v>71</v>
      </c>
    </row>
    <row r="36" spans="2:4" x14ac:dyDescent="0.25">
      <c r="B36" s="93" t="s">
        <v>335</v>
      </c>
    </row>
    <row r="37" spans="2:4" ht="16.5" thickBot="1" x14ac:dyDescent="0.3">
      <c r="B37" s="94" t="s">
        <v>336</v>
      </c>
    </row>
    <row r="40" spans="2:4" ht="16.5" thickBot="1" x14ac:dyDescent="0.3"/>
    <row r="41" spans="2:4" x14ac:dyDescent="0.25">
      <c r="B41" s="103" t="s">
        <v>377</v>
      </c>
      <c r="C41" s="104"/>
      <c r="D41" s="105"/>
    </row>
    <row r="42" spans="2:4" x14ac:dyDescent="0.25">
      <c r="B42" s="106" t="s">
        <v>378</v>
      </c>
      <c r="D42" s="98"/>
    </row>
    <row r="43" spans="2:4" x14ac:dyDescent="0.25">
      <c r="B43" s="97"/>
      <c r="D43" s="98"/>
    </row>
    <row r="44" spans="2:4" x14ac:dyDescent="0.25">
      <c r="B44" s="780" t="s">
        <v>379</v>
      </c>
      <c r="C44" s="781"/>
      <c r="D44" s="98"/>
    </row>
    <row r="45" spans="2:4" x14ac:dyDescent="0.25">
      <c r="B45" s="107" t="s">
        <v>380</v>
      </c>
      <c r="C45" s="108" t="str">
        <f>'2. Účetnictví'!E14</f>
        <v>Vyberte variantu</v>
      </c>
      <c r="D45" s="112" t="s">
        <v>382</v>
      </c>
    </row>
    <row r="46" spans="2:4" ht="16.5" thickBot="1" x14ac:dyDescent="0.3">
      <c r="B46" s="109" t="s">
        <v>381</v>
      </c>
      <c r="C46" s="110" t="str">
        <f>'2. Účetnictví'!E19</f>
        <v>Vyberte variantu</v>
      </c>
      <c r="D46" s="111" t="str">
        <f>IF(C45="Právnická osoba",C46,IF(C45="Fyzická osoba podnikající","Ano",IF(C46="Vyberte variantu","","")))</f>
        <v/>
      </c>
    </row>
    <row r="48" spans="2:4" ht="16.5" thickBot="1" x14ac:dyDescent="0.3">
      <c r="B48" s="108" t="s">
        <v>396</v>
      </c>
    </row>
    <row r="49" spans="2:5" x14ac:dyDescent="0.25">
      <c r="B49" s="113" t="s">
        <v>387</v>
      </c>
      <c r="C49" s="104" t="s">
        <v>394</v>
      </c>
      <c r="D49" s="114" t="s">
        <v>386</v>
      </c>
      <c r="E49" s="120" t="s">
        <v>395</v>
      </c>
    </row>
    <row r="50" spans="2:5" x14ac:dyDescent="0.25">
      <c r="B50" s="115">
        <f>YEAR('2. Účetnictví'!E7)</f>
        <v>1900</v>
      </c>
      <c r="C50" s="116" t="str">
        <f>IF(B50&gt;2000,B50,"")</f>
        <v/>
      </c>
      <c r="D50" s="117" t="str">
        <f>IF(C50="","",C50-1)</f>
        <v/>
      </c>
      <c r="E50" s="121" t="str">
        <f>IF(C50="","",C50-2)</f>
        <v/>
      </c>
    </row>
    <row r="51" spans="2:5" x14ac:dyDescent="0.25">
      <c r="B51" s="118"/>
      <c r="C51" s="9"/>
      <c r="D51" s="9"/>
      <c r="E51" s="122"/>
    </row>
    <row r="52" spans="2:5" x14ac:dyDescent="0.25">
      <c r="B52" s="118"/>
      <c r="C52" s="9"/>
      <c r="E52" s="122"/>
    </row>
    <row r="53" spans="2:5" x14ac:dyDescent="0.25">
      <c r="B53" s="123" t="s">
        <v>389</v>
      </c>
      <c r="C53" s="9"/>
      <c r="E53" s="122"/>
    </row>
    <row r="54" spans="2:5" x14ac:dyDescent="0.25">
      <c r="B54" s="124" t="s">
        <v>388</v>
      </c>
      <c r="C54" s="9"/>
      <c r="D54" s="15"/>
      <c r="E54" s="98"/>
    </row>
    <row r="55" spans="2:5" x14ac:dyDescent="0.25">
      <c r="B55" s="123" t="s">
        <v>400</v>
      </c>
      <c r="C55" s="9"/>
      <c r="D55" s="9"/>
      <c r="E55" s="122"/>
    </row>
    <row r="56" spans="2:5" x14ac:dyDescent="0.25">
      <c r="B56" s="97" t="s">
        <v>401</v>
      </c>
      <c r="C56" s="9"/>
      <c r="D56" s="9"/>
      <c r="E56" s="125"/>
    </row>
    <row r="57" spans="2:5" x14ac:dyDescent="0.25">
      <c r="B57" s="97" t="str">
        <f>B54&amp;D50</f>
        <v xml:space="preserve">Způsob podání daňového přiznání za účetní období: </v>
      </c>
      <c r="C57" s="9"/>
      <c r="E57" s="125"/>
    </row>
    <row r="58" spans="2:5" ht="16.5" thickBot="1" x14ac:dyDescent="0.3">
      <c r="B58" s="99" t="str">
        <f>B55&amp;D50</f>
        <v xml:space="preserve">Žadatel podal (tj. uzavřel) daňové přiznání za účetní období: </v>
      </c>
      <c r="C58" s="119"/>
      <c r="D58" s="119"/>
      <c r="E58" s="100"/>
    </row>
    <row r="59" spans="2:5" ht="16.5" thickBot="1" x14ac:dyDescent="0.3"/>
    <row r="60" spans="2:5" ht="16.5" thickBot="1" x14ac:dyDescent="0.3">
      <c r="B60" s="92" t="s">
        <v>402</v>
      </c>
    </row>
    <row r="61" spans="2:5" ht="16.5" thickBot="1" x14ac:dyDescent="0.3">
      <c r="B61" s="126" t="str">
        <f>IF(OR('3. Skupina podniků'!E8="Nejprve vyplňte předchozí list za žadatele.",'3. Skupina podniků'!E8="Duplicitní zápis ROKU na předchozích listech!"),"Chyba v části I.",'3. Skupina podniků'!E8)</f>
        <v>Chyba v části I.</v>
      </c>
    </row>
    <row r="62" spans="2:5" ht="16.5" thickBot="1" x14ac:dyDescent="0.3">
      <c r="B62" s="127" t="str">
        <f>IF(OR(B61="Chyba v části I.",B61=""),"Chyba v části I.",B61-1)</f>
        <v>Chyba v části I.</v>
      </c>
    </row>
    <row r="63" spans="2:5" x14ac:dyDescent="0.25">
      <c r="C63" t="e">
        <f>B62-1</f>
        <v>#VALUE!</v>
      </c>
    </row>
    <row r="65" spans="2:5" x14ac:dyDescent="0.25">
      <c r="B65" s="108" t="s">
        <v>405</v>
      </c>
    </row>
    <row r="66" spans="2:5" x14ac:dyDescent="0.25">
      <c r="B66" s="108" t="s">
        <v>406</v>
      </c>
    </row>
    <row r="68" spans="2:5" ht="16.5" thickBot="1" x14ac:dyDescent="0.3">
      <c r="B68" s="108" t="s">
        <v>490</v>
      </c>
    </row>
    <row r="69" spans="2:5" x14ac:dyDescent="0.25">
      <c r="B69" s="113" t="s">
        <v>387</v>
      </c>
      <c r="C69" s="104" t="s">
        <v>394</v>
      </c>
      <c r="D69" s="114" t="s">
        <v>386</v>
      </c>
      <c r="E69" s="120" t="s">
        <v>395</v>
      </c>
    </row>
    <row r="70" spans="2:5" x14ac:dyDescent="0.25">
      <c r="B70" s="115">
        <f>YEAR('2. Jednoduché účetnictví '!E7)</f>
        <v>1900</v>
      </c>
      <c r="C70" s="116" t="str">
        <f>IF(B70&gt;2000,B70,"")</f>
        <v/>
      </c>
      <c r="D70" s="117" t="str">
        <f>IF(C70="","",C70-1)</f>
        <v/>
      </c>
      <c r="E70" s="121" t="str">
        <f>IF(C70="","",C70-2)</f>
        <v/>
      </c>
    </row>
    <row r="71" spans="2:5" x14ac:dyDescent="0.25">
      <c r="B71" s="118"/>
      <c r="C71" s="9"/>
      <c r="D71" s="9"/>
      <c r="E71" s="122"/>
    </row>
    <row r="72" spans="2:5" x14ac:dyDescent="0.25">
      <c r="B72" s="118"/>
      <c r="C72" s="9"/>
      <c r="E72" s="122"/>
    </row>
    <row r="73" spans="2:5" x14ac:dyDescent="0.25">
      <c r="B73" s="123" t="s">
        <v>389</v>
      </c>
      <c r="C73" s="9"/>
      <c r="E73" s="122"/>
    </row>
    <row r="74" spans="2:5" x14ac:dyDescent="0.25">
      <c r="B74" s="124" t="s">
        <v>388</v>
      </c>
      <c r="C74" s="9"/>
      <c r="D74" s="15"/>
      <c r="E74" s="98"/>
    </row>
    <row r="75" spans="2:5" x14ac:dyDescent="0.25">
      <c r="B75" s="123" t="s">
        <v>400</v>
      </c>
      <c r="C75" s="9"/>
      <c r="D75" s="9"/>
      <c r="E75" s="122"/>
    </row>
    <row r="76" spans="2:5" x14ac:dyDescent="0.25">
      <c r="B76" s="97" t="s">
        <v>401</v>
      </c>
      <c r="C76" s="9"/>
      <c r="D76" s="9"/>
      <c r="E76" s="125"/>
    </row>
    <row r="77" spans="2:5" x14ac:dyDescent="0.25">
      <c r="B77" s="97" t="str">
        <f>B74&amp;D70</f>
        <v xml:space="preserve">Způsob podání daňového přiznání za účetní období: </v>
      </c>
      <c r="C77" s="9"/>
      <c r="E77" s="125"/>
    </row>
    <row r="78" spans="2:5" ht="16.5" thickBot="1" x14ac:dyDescent="0.3">
      <c r="B78" s="99" t="str">
        <f>B75&amp;D70</f>
        <v xml:space="preserve">Žadatel podal (tj. uzavřel) daňové přiznání za účetní období: </v>
      </c>
      <c r="C78" s="119"/>
      <c r="D78" s="119"/>
      <c r="E78" s="100"/>
    </row>
    <row r="81" spans="2:5" ht="16.5" thickBot="1" x14ac:dyDescent="0.3">
      <c r="B81" s="108" t="s">
        <v>491</v>
      </c>
    </row>
    <row r="82" spans="2:5" x14ac:dyDescent="0.25">
      <c r="B82" s="113" t="s">
        <v>387</v>
      </c>
      <c r="C82" s="104" t="s">
        <v>394</v>
      </c>
      <c r="D82" s="114" t="s">
        <v>386</v>
      </c>
      <c r="E82" s="120" t="s">
        <v>395</v>
      </c>
    </row>
    <row r="83" spans="2:5" x14ac:dyDescent="0.25">
      <c r="B83" s="115">
        <f>YEAR('2. Daňová evidence'!E7)</f>
        <v>1900</v>
      </c>
      <c r="C83" s="116" t="str">
        <f>IF(B83&gt;2000,B83,"")</f>
        <v/>
      </c>
      <c r="D83" s="117" t="str">
        <f>IF(C83="","",C83-1)</f>
        <v/>
      </c>
      <c r="E83" s="121" t="str">
        <f>IF(C83="","",C83-2)</f>
        <v/>
      </c>
    </row>
    <row r="84" spans="2:5" x14ac:dyDescent="0.25">
      <c r="B84" s="118"/>
      <c r="C84" s="9"/>
      <c r="D84" s="9"/>
      <c r="E84" s="122"/>
    </row>
    <row r="85" spans="2:5" x14ac:dyDescent="0.25">
      <c r="B85" s="118"/>
      <c r="C85" s="9"/>
      <c r="E85" s="122"/>
    </row>
    <row r="86" spans="2:5" x14ac:dyDescent="0.25">
      <c r="B86" s="123" t="s">
        <v>389</v>
      </c>
      <c r="C86" s="9"/>
      <c r="E86" s="122"/>
    </row>
    <row r="87" spans="2:5" x14ac:dyDescent="0.25">
      <c r="B87" s="124" t="s">
        <v>388</v>
      </c>
      <c r="C87" s="9"/>
      <c r="D87" s="15"/>
      <c r="E87" s="98"/>
    </row>
    <row r="88" spans="2:5" x14ac:dyDescent="0.25">
      <c r="B88" s="123" t="s">
        <v>400</v>
      </c>
      <c r="C88" s="9"/>
      <c r="D88" s="9"/>
      <c r="E88" s="122"/>
    </row>
    <row r="89" spans="2:5" x14ac:dyDescent="0.25">
      <c r="B89" s="97" t="s">
        <v>401</v>
      </c>
      <c r="C89" s="9"/>
      <c r="D89" s="9"/>
      <c r="E89" s="125"/>
    </row>
    <row r="90" spans="2:5" x14ac:dyDescent="0.25">
      <c r="B90" s="97" t="str">
        <f>B87&amp;D83</f>
        <v xml:space="preserve">Způsob podání daňového přiznání za účetní období: </v>
      </c>
      <c r="C90" s="9"/>
      <c r="E90" s="125"/>
    </row>
    <row r="91" spans="2:5" ht="16.5" thickBot="1" x14ac:dyDescent="0.3">
      <c r="B91" s="99" t="str">
        <f>B88&amp;D83</f>
        <v xml:space="preserve">Žadatel podal (tj. uzavřel) daňové přiznání za účetní období: </v>
      </c>
      <c r="C91" s="119"/>
      <c r="D91" s="119"/>
      <c r="E91" s="100"/>
    </row>
    <row r="94" spans="2:5" ht="16.5" thickBot="1" x14ac:dyDescent="0.3">
      <c r="B94" s="108" t="s">
        <v>492</v>
      </c>
    </row>
    <row r="95" spans="2:5" x14ac:dyDescent="0.25">
      <c r="B95" s="113" t="s">
        <v>387</v>
      </c>
      <c r="C95" s="104" t="s">
        <v>394</v>
      </c>
      <c r="D95" s="114" t="s">
        <v>386</v>
      </c>
      <c r="E95" s="120" t="s">
        <v>395</v>
      </c>
    </row>
    <row r="96" spans="2:5" x14ac:dyDescent="0.25">
      <c r="B96" s="115">
        <f>YEAR('2. Paušální (výdaje, daň)'!E7)</f>
        <v>1900</v>
      </c>
      <c r="C96" s="116" t="str">
        <f>IF(B96&gt;2000,B96,"")</f>
        <v/>
      </c>
      <c r="D96" s="117" t="str">
        <f>IF(C96="","",C96-1)</f>
        <v/>
      </c>
      <c r="E96" s="121" t="str">
        <f>IF(C96="","",C96-2)</f>
        <v/>
      </c>
    </row>
    <row r="97" spans="2:5" x14ac:dyDescent="0.25">
      <c r="B97" s="118"/>
      <c r="C97" s="9"/>
      <c r="D97" s="9"/>
      <c r="E97" s="122"/>
    </row>
    <row r="98" spans="2:5" x14ac:dyDescent="0.25">
      <c r="B98" s="118"/>
      <c r="C98" s="9"/>
      <c r="E98" s="122"/>
    </row>
    <row r="99" spans="2:5" x14ac:dyDescent="0.25">
      <c r="B99" s="123" t="s">
        <v>389</v>
      </c>
      <c r="C99" s="9"/>
      <c r="E99" s="122"/>
    </row>
    <row r="100" spans="2:5" x14ac:dyDescent="0.25">
      <c r="B100" s="124" t="s">
        <v>388</v>
      </c>
      <c r="C100" s="9"/>
      <c r="D100" s="15"/>
      <c r="E100" s="98"/>
    </row>
    <row r="101" spans="2:5" x14ac:dyDescent="0.25">
      <c r="B101" s="123" t="s">
        <v>400</v>
      </c>
      <c r="C101" s="9"/>
      <c r="D101" s="9"/>
      <c r="E101" s="122"/>
    </row>
    <row r="102" spans="2:5" x14ac:dyDescent="0.25">
      <c r="B102" s="97" t="s">
        <v>401</v>
      </c>
      <c r="C102" s="9"/>
      <c r="D102" s="9"/>
      <c r="E102" s="125"/>
    </row>
    <row r="103" spans="2:5" x14ac:dyDescent="0.25">
      <c r="B103" s="97" t="str">
        <f>B100&amp;D96</f>
        <v xml:space="preserve">Způsob podání daňového přiznání za účetní období: </v>
      </c>
      <c r="C103" s="9"/>
      <c r="E103" s="125"/>
    </row>
    <row r="104" spans="2:5" ht="16.5" thickBot="1" x14ac:dyDescent="0.3">
      <c r="B104" s="99" t="str">
        <f>B101&amp;D96</f>
        <v xml:space="preserve">Žadatel podal (tj. uzavřel) daňové přiznání za účetní období: </v>
      </c>
      <c r="C104" s="119"/>
      <c r="D104" s="119"/>
      <c r="E104" s="100"/>
    </row>
    <row r="108" spans="2:5" x14ac:dyDescent="0.25">
      <c r="B108" s="245"/>
    </row>
  </sheetData>
  <sheetProtection algorithmName="SHA-512" hashValue="lOWZ3rbnD9Rv5pj6YWgUm0GePmCKTJhiHYCysr9vzW2WCIJ4YnpreXjJUsUpaYoXJqV9X8hqRDufzWn0Dn8Axw==" saltValue="B2T0tT6/oxjijjPrSHamsg==" spinCount="100000" sheet="1" objects="1" scenarios="1"/>
  <mergeCells count="9">
    <mergeCell ref="B44:C44"/>
    <mergeCell ref="L16:L18"/>
    <mergeCell ref="H2:L2"/>
    <mergeCell ref="H8:L8"/>
    <mergeCell ref="L4:L6"/>
    <mergeCell ref="L10:L12"/>
    <mergeCell ref="H14:L14"/>
    <mergeCell ref="H20:L20"/>
    <mergeCell ref="L22:L24"/>
  </mergeCells>
  <conditionalFormatting sqref="B62">
    <cfRule type="expression" dxfId="1" priority="1">
      <formula>IF($E$12="ANO",1,0)</formula>
    </cfRule>
    <cfRule type="expression" dxfId="0" priority="2">
      <formula>IF($E$12="ANO",1,0)</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
  <sheetViews>
    <sheetView showGridLines="0" zoomScaleNormal="100" workbookViewId="0">
      <selection activeCell="L24" sqref="L24"/>
    </sheetView>
  </sheetViews>
  <sheetFormatPr defaultColWidth="11" defaultRowHeight="15.75" x14ac:dyDescent="0.25"/>
  <sheetData/>
  <sheetProtection algorithmName="SHA-512" hashValue="t+45JSo7siZmScMwFRKhXY+EvCq7rbGrRX8QTdGVqoOm/ggOTX8r68OMc6NP6EyLChL3j3jejQrMaWTh6oTXIA==" saltValue="LTJL8KuGuEqb2axMDxjaDw==" spinCount="100000" sheet="1" objects="1" scenarios="1"/>
  <pageMargins left="0.59055118110236227" right="0.59055118110236227" top="0.59055118110236227" bottom="0.59055118110236227"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K80"/>
  <sheetViews>
    <sheetView showGridLines="0" zoomScale="90" zoomScaleNormal="90" zoomScaleSheetLayoutView="10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8.75" hidden="1" customWidth="1"/>
    <col min="10" max="10" width="14.75" hidden="1" customWidth="1"/>
    <col min="11" max="11" width="0" hidden="1" customWidth="1"/>
    <col min="12" max="12" width="10.5"/>
    <col min="14" max="14" width="19.375" customWidth="1"/>
    <col min="15" max="15" width="12.5" customWidth="1"/>
  </cols>
  <sheetData>
    <row r="1" spans="1:11" ht="20.25" customHeight="1" x14ac:dyDescent="0.25"/>
    <row r="2" spans="1:11" s="302" customFormat="1" ht="24.75" customHeight="1" x14ac:dyDescent="0.25">
      <c r="B2" s="84" t="s">
        <v>408</v>
      </c>
      <c r="D2" s="303"/>
      <c r="E2" s="304"/>
      <c r="F2" s="304"/>
      <c r="G2" s="305"/>
      <c r="H2" s="306"/>
    </row>
    <row r="3" spans="1:11" ht="32.25" customHeight="1" thickBot="1" x14ac:dyDescent="0.3">
      <c r="B3" s="85" t="s">
        <v>486</v>
      </c>
      <c r="D3" s="13"/>
      <c r="E3" s="5"/>
      <c r="F3" s="5"/>
      <c r="G3" s="13"/>
      <c r="H3" s="12"/>
    </row>
    <row r="4" spans="1:11" ht="24.95" customHeight="1" x14ac:dyDescent="0.25">
      <c r="A4" s="32" t="s">
        <v>74</v>
      </c>
      <c r="B4" s="448" t="s">
        <v>80</v>
      </c>
      <c r="C4" s="449"/>
      <c r="D4" s="450"/>
      <c r="E4" s="437"/>
      <c r="F4" s="438"/>
      <c r="G4" s="439"/>
      <c r="H4" s="307"/>
    </row>
    <row r="5" spans="1:11" ht="24.95" hidden="1" customHeight="1" x14ac:dyDescent="0.25">
      <c r="B5" s="137"/>
      <c r="C5" s="440" t="s">
        <v>0</v>
      </c>
      <c r="D5" s="441"/>
      <c r="E5" s="442" t="s">
        <v>326</v>
      </c>
      <c r="F5" s="443"/>
      <c r="G5" s="444"/>
      <c r="H5" s="15"/>
    </row>
    <row r="6" spans="1:11" ht="24.95" customHeight="1" x14ac:dyDescent="0.25">
      <c r="B6" s="451" t="s">
        <v>1</v>
      </c>
      <c r="C6" s="440"/>
      <c r="D6" s="441"/>
      <c r="E6" s="445"/>
      <c r="F6" s="446"/>
      <c r="G6" s="447"/>
    </row>
    <row r="7" spans="1:11" ht="24.75" customHeight="1" x14ac:dyDescent="0.25">
      <c r="B7" s="451" t="s">
        <v>385</v>
      </c>
      <c r="C7" s="440"/>
      <c r="D7" s="441"/>
      <c r="E7" s="452"/>
      <c r="F7" s="453"/>
      <c r="G7" s="454"/>
    </row>
    <row r="8" spans="1:11" ht="15" hidden="1" customHeight="1" x14ac:dyDescent="0.25">
      <c r="B8" s="137"/>
      <c r="C8" s="440" t="s">
        <v>246</v>
      </c>
      <c r="D8" s="441"/>
      <c r="E8" s="452">
        <v>42222</v>
      </c>
      <c r="F8" s="453"/>
      <c r="G8" s="454"/>
    </row>
    <row r="9" spans="1:11" ht="24" customHeight="1" x14ac:dyDescent="0.25">
      <c r="B9" s="451" t="str">
        <f>IF(E7="",Výpočty!B54,Výpočty!B57)</f>
        <v xml:space="preserve">Způsob podání daňového přiznání za účetní období: </v>
      </c>
      <c r="C9" s="440"/>
      <c r="D9" s="441"/>
      <c r="E9" s="452" t="s">
        <v>71</v>
      </c>
      <c r="F9" s="453"/>
      <c r="G9" s="454"/>
    </row>
    <row r="10" spans="1:11" ht="24" customHeight="1" thickBot="1" x14ac:dyDescent="0.3">
      <c r="B10" s="488" t="str">
        <f>IF(E7="",Výpočty!B55,Výpočty!B58)</f>
        <v xml:space="preserve">Žadatel podal (tj. uzavřel) daňové přiznání za účetní období: </v>
      </c>
      <c r="C10" s="489"/>
      <c r="D10" s="490"/>
      <c r="E10" s="459" t="s">
        <v>71</v>
      </c>
      <c r="F10" s="460"/>
      <c r="G10" s="461"/>
    </row>
    <row r="11" spans="1:11" ht="20.25" hidden="1" customHeight="1" x14ac:dyDescent="0.25">
      <c r="B11" s="21"/>
      <c r="C11" s="455" t="s">
        <v>392</v>
      </c>
      <c r="D11" s="456"/>
      <c r="E11" s="457" t="str">
        <f>Výpočty!D50</f>
        <v/>
      </c>
      <c r="F11" s="457"/>
      <c r="G11" s="458"/>
    </row>
    <row r="12" spans="1:11" ht="16.5" hidden="1" thickBot="1" x14ac:dyDescent="0.3">
      <c r="B12" s="21"/>
      <c r="C12" s="464" t="s">
        <v>393</v>
      </c>
      <c r="D12" s="465"/>
      <c r="E12" s="466" t="str">
        <f>IF(E11="","",I12)</f>
        <v/>
      </c>
      <c r="F12" s="466"/>
      <c r="G12" s="466"/>
      <c r="I12" s="462" t="str">
        <f>IF(E10="Ano",E11,IF(E10="Vyberte variantu",E11,E11-1))</f>
        <v/>
      </c>
      <c r="J12" s="462"/>
      <c r="K12" s="463"/>
    </row>
    <row r="13" spans="1:11" ht="6.75" customHeight="1" thickBot="1" x14ac:dyDescent="0.3">
      <c r="B13" s="21"/>
      <c r="C13" s="13"/>
      <c r="D13" s="17"/>
      <c r="E13" s="5"/>
      <c r="F13" s="5"/>
      <c r="G13" s="13"/>
    </row>
    <row r="14" spans="1:11" ht="26.25" customHeight="1" x14ac:dyDescent="0.25">
      <c r="B14" s="448" t="s">
        <v>376</v>
      </c>
      <c r="C14" s="449"/>
      <c r="D14" s="450"/>
      <c r="E14" s="437" t="s">
        <v>71</v>
      </c>
      <c r="F14" s="438"/>
      <c r="G14" s="439"/>
    </row>
    <row r="15" spans="1:11" ht="24.95" customHeight="1" x14ac:dyDescent="0.25">
      <c r="B15" s="451" t="s">
        <v>342</v>
      </c>
      <c r="C15" s="440"/>
      <c r="D15" s="441"/>
      <c r="E15" s="442" t="s">
        <v>71</v>
      </c>
      <c r="F15" s="443"/>
      <c r="G15" s="444"/>
      <c r="H15" s="43" t="str">
        <f>IF(E15="Vyberte variantu","Viz list PŘEHLED - je důležité vybrat správnou variantu.","")</f>
        <v>Viz list PŘEHLED - je důležité vybrat správnou variantu.</v>
      </c>
    </row>
    <row r="16" spans="1:11" ht="24.95" customHeight="1" x14ac:dyDescent="0.25">
      <c r="B16" s="451" t="s">
        <v>359</v>
      </c>
      <c r="C16" s="440"/>
      <c r="D16" s="441"/>
      <c r="E16" s="442" t="s">
        <v>71</v>
      </c>
      <c r="F16" s="443"/>
      <c r="G16" s="444"/>
    </row>
    <row r="17" spans="1:8" ht="24.95" customHeight="1" x14ac:dyDescent="0.25">
      <c r="B17" s="486" t="s">
        <v>256</v>
      </c>
      <c r="C17" s="487"/>
      <c r="D17" s="491"/>
      <c r="E17" s="442" t="s">
        <v>71</v>
      </c>
      <c r="F17" s="443"/>
      <c r="G17" s="444"/>
      <c r="H17" s="12"/>
    </row>
    <row r="18" spans="1:8" ht="84" customHeight="1" x14ac:dyDescent="0.25">
      <c r="B18" s="451" t="s">
        <v>472</v>
      </c>
      <c r="C18" s="440"/>
      <c r="D18" s="441"/>
      <c r="E18" s="442" t="s">
        <v>71</v>
      </c>
      <c r="F18" s="443"/>
      <c r="G18" s="444"/>
      <c r="H18" s="43"/>
    </row>
    <row r="19" spans="1:8" ht="101.25" customHeight="1" x14ac:dyDescent="0.25">
      <c r="B19" s="451" t="s">
        <v>383</v>
      </c>
      <c r="C19" s="440"/>
      <c r="D19" s="441"/>
      <c r="E19" s="442" t="s">
        <v>71</v>
      </c>
      <c r="F19" s="443"/>
      <c r="G19" s="444"/>
      <c r="H19" s="43"/>
    </row>
    <row r="20" spans="1:8" hidden="1" x14ac:dyDescent="0.25">
      <c r="B20" s="137"/>
      <c r="C20" s="440" t="s">
        <v>79</v>
      </c>
      <c r="D20" s="441"/>
      <c r="E20" s="442" t="s">
        <v>177</v>
      </c>
      <c r="F20" s="443"/>
      <c r="G20" s="444"/>
      <c r="H20" s="12"/>
    </row>
    <row r="21" spans="1:8" hidden="1" x14ac:dyDescent="0.25">
      <c r="B21" s="137"/>
      <c r="C21" s="440" t="s">
        <v>248</v>
      </c>
      <c r="D21" s="441"/>
      <c r="E21" s="442" t="s">
        <v>71</v>
      </c>
      <c r="F21" s="443"/>
      <c r="G21" s="444"/>
      <c r="H21" s="12"/>
    </row>
    <row r="22" spans="1:8" ht="24.75" customHeight="1" thickBot="1" x14ac:dyDescent="0.3">
      <c r="B22" s="488" t="s">
        <v>345</v>
      </c>
      <c r="C22" s="489"/>
      <c r="D22" s="490"/>
      <c r="E22" s="459" t="s">
        <v>71</v>
      </c>
      <c r="F22" s="460"/>
      <c r="G22" s="461"/>
      <c r="H22" s="43"/>
    </row>
    <row r="23" spans="1:8" ht="29.25" customHeight="1" thickBot="1" x14ac:dyDescent="0.3">
      <c r="B23" s="21"/>
      <c r="C23" s="13"/>
      <c r="D23" s="13"/>
      <c r="E23" s="5"/>
      <c r="F23" s="5"/>
      <c r="G23" s="13"/>
      <c r="H23" s="43"/>
    </row>
    <row r="24" spans="1:8" ht="36" customHeight="1" thickBot="1" x14ac:dyDescent="0.3">
      <c r="A24" s="32" t="s">
        <v>75</v>
      </c>
      <c r="B24" s="498" t="s">
        <v>90</v>
      </c>
      <c r="C24" s="499"/>
      <c r="D24" s="500"/>
      <c r="E24" s="467" t="str">
        <f>IF(E15=Výpočty!B23,'Veřejný subjekt (410) '!D18,IF(E15=Výpočty!B24,'Podnikatel (500)'!D18,IF(E15=Výpočty!B25,'Banky a fin. instituce (501)'!D18,IF(E15=Výpočty!B26,'Pojišťovny (502)'!D18,IF(E15=Výpočty!B27,'Zdrav pojišťovny (503)'!D18,IF(E15=Výpočty!B28,'Nepodnikatel (504)'!D18,"NEPRAVDA"))))))</f>
        <v>NEPRAVDA</v>
      </c>
      <c r="F24" s="468"/>
      <c r="G24" s="469" t="s">
        <v>414</v>
      </c>
      <c r="H24" s="470"/>
    </row>
    <row r="25" spans="1:8" ht="16.5" thickBot="1" x14ac:dyDescent="0.3">
      <c r="B25" s="21"/>
      <c r="C25" s="13"/>
      <c r="D25" s="13"/>
      <c r="E25" s="5"/>
      <c r="F25" s="5"/>
      <c r="G25" s="13"/>
      <c r="H25" s="12"/>
    </row>
    <row r="26" spans="1:8" ht="18" customHeight="1" x14ac:dyDescent="0.25">
      <c r="B26" s="448" t="str">
        <f>IF(E15=Výpočty!B23,'Veřejný subjekt (410) '!B20,IF(E15=Výpočty!B24,'Podnikatel (500)'!B20,IF(E15=Výpočty!B25,'Banky a fin. instituce (501)'!B20,IF(E15=Výpočty!B26,'Pojišťovny (502)'!B20,IF(E15=Výpočty!B27,'Zdrav pojišťovny (503)'!B20,IF(E15=Výpočty!B28,'Nepodnikatel (504)'!B20,"A - kritérium stavu vlastního kapitálu - společníci neručí za závazky."))))))</f>
        <v>A - kritérium stavu vlastního kapitálu - společníci neručí za závazky.</v>
      </c>
      <c r="C26" s="449"/>
      <c r="D26" s="472" t="s">
        <v>61</v>
      </c>
      <c r="E26" s="472" t="s">
        <v>64</v>
      </c>
      <c r="F26" s="28" t="str">
        <f>IF(OR(E24="kritéria A,C,D,E",E24="kritéria A,C,D"),"RELEVANTNÍ","NERELEVANTNÍ")</f>
        <v>NERELEVANTNÍ</v>
      </c>
      <c r="G26" s="43"/>
      <c r="H26" s="12"/>
    </row>
    <row r="27" spans="1:8" ht="18" customHeight="1" x14ac:dyDescent="0.25">
      <c r="B27" s="451"/>
      <c r="C27" s="440"/>
      <c r="D27" s="473"/>
      <c r="E27" s="473"/>
      <c r="F27" s="33" t="str">
        <f>"Rok N"&amp; "  " &amp; IF($E$12&gt;1,$E$12,"")</f>
        <v xml:space="preserve">Rok N  </v>
      </c>
      <c r="G27" s="47"/>
      <c r="H27" s="47"/>
    </row>
    <row r="28" spans="1:8" ht="27.75" customHeight="1" x14ac:dyDescent="0.25">
      <c r="B28" s="479" t="str">
        <f>IF(E15=Výpočty!B22,"-","Vlastní kapitál")</f>
        <v>-</v>
      </c>
      <c r="C28" s="480"/>
      <c r="D28" s="30" t="str">
        <f>IF(E15=Výpočty!B23,'Veřejný subjekt (410) '!C22,IF(E15=Výpočty!B24,'Podnikatel (500)'!C22,IF(E15=Výpočty!B25,'Banky a fin. instituce (501)'!C22,IF(E15=Výpočty!B26,'Pojišťovny (502)'!C22,IF(E15=Výpočty!B27,'Zdrav pojišťovny (503)'!C22,IF(E15=Výpočty!B28,'Nepodnikatel (504)'!C22,"-"))))))</f>
        <v>-</v>
      </c>
      <c r="E28" s="30" t="str">
        <f>IF(E15=Výpočty!B23,'Veřejný subjekt (410) '!D22,IF(E15=Výpočty!B24,'Podnikatel (500)'!D22,IF(E15=Výpočty!B25,'Banky a fin. instituce (501)'!D22,IF(E15=Výpočty!B26,'Pojišťovny (502)'!D22,IF(E15=Výpočty!B27,'Zdrav pojišťovny (503)'!D22,IF(E15=Výpočty!B28,'Nepodnikatel (504)'!D22,"-"))))))</f>
        <v>-</v>
      </c>
      <c r="F28" s="42"/>
      <c r="G28" s="47"/>
      <c r="H28" s="47"/>
    </row>
    <row r="29" spans="1:8" ht="24.95" customHeight="1" x14ac:dyDescent="0.25">
      <c r="B29" s="479" t="str">
        <f>IF(E15=Výpočty!B22,"-","Základní kapitál")</f>
        <v>-</v>
      </c>
      <c r="C29" s="480"/>
      <c r="D29" s="30" t="str">
        <f>IF(E15=Výpočty!B23,'Veřejný subjekt (410) '!C23,IF(E15=Výpočty!B24,'Podnikatel (500)'!C23,IF(E15=Výpočty!B25,'Banky a fin. instituce (501)'!C23,IF(E15=Výpočty!B26,'Pojišťovny (502)'!C23,IF(E15=Výpočty!B27,'Zdrav pojišťovny (503)'!C23,IF(E15=Výpočty!B28,'Nepodnikatel (504)'!C23,"-"))))))</f>
        <v>-</v>
      </c>
      <c r="E29" s="30" t="str">
        <f>IF(E15=Výpočty!B23,'Veřejný subjekt (410) '!D23,IF(E15=Výpočty!B24,'Podnikatel (500)'!D23,IF(E15=Výpočty!B25,'Banky a fin. instituce (501)'!D23,IF(E15=Výpočty!B26,'Pojišťovny (502)'!D23,IF(E15=Výpočty!B27,'Zdrav pojišťovny (503)'!D23,IF(E15=Výpočty!B28,'Nepodnikatel (504)'!D23,"-"))))))</f>
        <v>-</v>
      </c>
      <c r="F29" s="42"/>
      <c r="G29" s="471" t="str">
        <f>IF(E15=Výpočty!B23,'Veřejný subjekt (410) '!F23,IF(E15=Výpočty!B28,'Nepodnikatel (504)'!F23,""))</f>
        <v/>
      </c>
      <c r="H29" s="471"/>
    </row>
    <row r="30" spans="1:8" ht="24.95" customHeight="1" x14ac:dyDescent="0.25">
      <c r="B30" s="479" t="str">
        <f>IF(E15=Výpočty!B22,"-","Ážio")</f>
        <v>-</v>
      </c>
      <c r="C30" s="480"/>
      <c r="D30" s="30" t="str">
        <f>IF(E15=Výpočty!B23,'Veřejný subjekt (410) '!C24,IF(E15=Výpočty!B24,'Podnikatel (500)'!C24,IF(E15=Výpočty!B25,'Banky a fin. instituce (501)'!C24,IF(E15=Výpočty!B26,'Pojišťovny (502)'!C24,IF(E15=Výpočty!B27,'Zdrav pojišťovny (503)'!C24,IF(E15=Výpočty!B28,'Nepodnikatel (504)'!C24,"-"))))))</f>
        <v>-</v>
      </c>
      <c r="E30" s="30" t="str">
        <f>IF(E15=Výpočty!B23,'Veřejný subjekt (410) '!D24,IF(E15=Výpočty!B24,'Podnikatel (500)'!D24,IF(E15=Výpočty!B25,'Banky a fin. instituce (501)'!D24,IF(E15=Výpočty!B26,'Pojišťovny (502)'!D24,IF(E15=Výpočty!B27,'Zdrav pojišťovny (503)'!D24,IF(E15=Výpočty!B28,'Nepodnikatel (504)'!D24,"-"))))))</f>
        <v>-</v>
      </c>
      <c r="F30" s="42"/>
      <c r="G30" s="471"/>
      <c r="H30" s="471"/>
    </row>
    <row r="31" spans="1:8" ht="24.95" customHeight="1" thickBot="1" x14ac:dyDescent="0.3">
      <c r="B31" s="477" t="s">
        <v>14</v>
      </c>
      <c r="C31" s="478"/>
      <c r="D31" s="478"/>
      <c r="E31" s="478"/>
      <c r="F31" s="308" t="str">
        <f>IF(E15=Výpočty!B23,'Veřejný subjekt (410) '!E25,IF(E15=Výpočty!B24,'Podnikatel (500)'!E25,IF(E15=Výpočty!B25,'Banky a fin. instituce (501)'!E25,IF(E15=Výpočty!B26,'Pojišťovny (502)'!E25,IF(E15=Výpočty!B27,'Zdrav pojišťovny (503)'!E25,IF(E15=Výpočty!B28,'Nepodnikatel (504)'!E25,"Ne"))))))</f>
        <v>Ne</v>
      </c>
      <c r="G31" s="13"/>
      <c r="H31" s="12"/>
    </row>
    <row r="32" spans="1:8" ht="16.5" thickBot="1" x14ac:dyDescent="0.3">
      <c r="B32" s="21"/>
      <c r="C32" s="13"/>
      <c r="D32" s="13"/>
      <c r="E32" s="17"/>
      <c r="F32" s="17"/>
      <c r="G32" s="13"/>
      <c r="H32" s="12"/>
    </row>
    <row r="33" spans="2:8" ht="18" customHeight="1" x14ac:dyDescent="0.25">
      <c r="B33" s="448" t="str">
        <f>IF(E15=Výpočty!B23,'Veřejný subjekt (410) '!B27,IF(E15=Výpočty!B24,'Podnikatel (500)'!B27,IF(E15=Výpočty!B25,'Banky a fin. instituce (501)'!B27,IF(E15=Výpočty!B26,'Pojišťovny (502)'!B27,IF(E15=Výpočty!B27,'Zdrav pojišťovny (503)'!B27,IF(E15=Výpočty!B28,'Nepodnikatel (504)'!B27,"B - kritérium stavu vlastního kapitálu - společníci ručí za závazky."))))))</f>
        <v>B - kritérium stavu vlastního kapitálu - společníci ručí za závazky.</v>
      </c>
      <c r="C33" s="449"/>
      <c r="D33" s="472" t="s">
        <v>61</v>
      </c>
      <c r="E33" s="472" t="s">
        <v>64</v>
      </c>
      <c r="F33" s="28" t="str">
        <f>IF(OR(E24="kritéria B,C,D,E",E24="kritéria B,C,D"),"RELEVANTNÍ","NERELEVANTNÍ")</f>
        <v>NERELEVANTNÍ</v>
      </c>
      <c r="G33" s="13"/>
      <c r="H33" s="12"/>
    </row>
    <row r="34" spans="2:8" ht="18" customHeight="1" x14ac:dyDescent="0.25">
      <c r="B34" s="451"/>
      <c r="C34" s="440"/>
      <c r="D34" s="473"/>
      <c r="E34" s="473"/>
      <c r="F34" s="309" t="str">
        <f>"Rok N"&amp; "  " &amp; IF($E$12&gt;1,$E$12,"")</f>
        <v xml:space="preserve">Rok N  </v>
      </c>
      <c r="G34" s="13"/>
      <c r="H34" s="12"/>
    </row>
    <row r="35" spans="2:8" ht="27.75" customHeight="1" x14ac:dyDescent="0.25">
      <c r="B35" s="479" t="str">
        <f>IF(E15=Výpočty!B23,'Veřejný subjekt (410) '!B29,IF(E15=Výpočty!B24,'Podnikatel (500)'!B29,IF(E15=Výpočty!B25,'Banky a fin. instituce (501)'!B29,IF(E15=Výpočty!B26,'Pojišťovny (502)'!B29,IF(E15=Výpočty!B27,'Zdrav pojišťovny (503)'!B29,IF(E15=Výpočty!B28,'Nepodnikatel (504)'!B29,"-"))))))</f>
        <v>-</v>
      </c>
      <c r="C35" s="480"/>
      <c r="D35" s="30" t="str">
        <f>IF(E15=Výpočty!B23,'Veřejný subjekt (410) '!C29,IF(E15=Výpočty!B24,'Podnikatel (500)'!C29,IF(E15=Výpočty!B25,'Banky a fin. instituce (501)'!C29,IF(E15=Výpočty!B26,'Pojišťovny (502)'!C29,IF(E15=Výpočty!B27,'Zdrav pojišťovny (503)'!C29,IF(E15=Výpočty!B28,'Nepodnikatel (504)'!C29,"-"))))))</f>
        <v>-</v>
      </c>
      <c r="E35" s="30" t="str">
        <f>IF(E15=Výpočty!B23,'Veřejný subjekt (410) '!D29,IF(E15=Výpočty!B24,'Podnikatel (500)'!D29,IF(E15=Výpočty!B25,'Banky a fin. instituce (501)'!D29,IF(E15=Výpočty!B26,'Pojišťovny (502)'!D29,IF(E15=Výpočty!B27,'Zdrav pojišťovny (503)'!D29,IF(E15=Výpočty!B28,'Nepodnikatel (504)'!D29,"-"))))))</f>
        <v>-</v>
      </c>
      <c r="F35" s="42"/>
      <c r="G35" s="13"/>
      <c r="H35" s="12"/>
    </row>
    <row r="36" spans="2:8" ht="24.95" customHeight="1" x14ac:dyDescent="0.25">
      <c r="B36" s="479" t="str">
        <f>IF(E15=Výpočty!B23,'Veřejný subjekt (410) '!B30,IF(E15=Výpočty!B24,'Podnikatel (500)'!B30,IF(E15=Výpočty!B25,'Banky a fin. instituce (501)'!B30,IF(E15=Výpočty!B26,'Pojišťovny (502)'!B30,IF(E15=Výpočty!B27,'Zdrav pojišťovny (503)'!B30,IF(E15=Výpočty!B28,'Nepodnikatel (504)'!B30,"-"))))))</f>
        <v>-</v>
      </c>
      <c r="C36" s="480"/>
      <c r="D36" s="30" t="str">
        <f>IF(E15=Výpočty!B23,'Veřejný subjekt (410) '!C30,IF(E15=Výpočty!B24,'Podnikatel (500)'!C30,IF(E15=Výpočty!B25,'Banky a fin. instituce (501)'!C30,IF(E15=Výpočty!B26,'Pojišťovny (502)'!C30,IF(E15=Výpočty!B27,'Zdrav pojišťovny (503)'!C30,IF(E15=Výpočty!B28,'Nepodnikatel (504)'!C30,"-"))))))</f>
        <v>-</v>
      </c>
      <c r="E36" s="30" t="str">
        <f>IF(E15=Výpočty!B23,'Veřejný subjekt (410) '!D30,IF(E15=Výpočty!B24,'Podnikatel (500)'!D30,IF(E15=Výpočty!B25,'Banky a fin. instituce (501)'!D30,IF(E15=Výpočty!B26,'Pojišťovny (502)'!D30,IF(E15=Výpočty!B27,'Zdrav pojišťovny (503)'!D30,IF(E15=Výpočty!B28,'Nepodnikatel (504)'!D30,"-"))))))</f>
        <v>-</v>
      </c>
      <c r="F36" s="42"/>
      <c r="G36" s="13"/>
      <c r="H36" s="12"/>
    </row>
    <row r="37" spans="2:8" ht="24.95" customHeight="1" x14ac:dyDescent="0.25">
      <c r="B37" s="479" t="str">
        <f>IF(E15=Výpočty!B23,'Veřejný subjekt (410) '!B31,IF(E15=Výpočty!B24,'Podnikatel (500)'!B31,IF(E15=Výpočty!B25,'Banky a fin. instituce (501)'!B31,IF(E15=Výpočty!B26,'Pojišťovny (502)'!B31,IF(E15=Výpočty!B27,'Zdrav pojišťovny (503)'!B31,IF(E15=Výpočty!B28,'Nepodnikatel (504)'!B31,"-"))))))</f>
        <v>-</v>
      </c>
      <c r="C37" s="480"/>
      <c r="D37" s="30" t="str">
        <f>IF(E15=Výpočty!B23,'Veřejný subjekt (410) '!C31,IF(E15=Výpočty!B24,'Podnikatel (500)'!C31,IF(E15=Výpočty!B25,'Banky a fin. instituce (501)'!C31,IF(E15=Výpočty!B26,'Pojišťovny (502)'!C31,IF(E15=Výpočty!B27,'Zdrav pojišťovny (503)'!C31,IF(E15=Výpočty!B28,'Nepodnikatel (504)'!C31,"-"))))))</f>
        <v>-</v>
      </c>
      <c r="E37" s="30" t="str">
        <f>IF(E15=Výpočty!B23,'Veřejný subjekt (410) '!D31,IF(E15=Výpočty!B24,'Podnikatel (500)'!D31,IF(E15=Výpočty!B25,'Banky a fin. instituce (501)'!D31,IF(E15=Výpočty!B26,'Pojišťovny (502)'!D31,IF(E15=Výpočty!B27,'Zdrav pojišťovny (503)'!D31,IF(E15=Výpočty!B28,'Nepodnikatel (504)'!D31,"-"))))))</f>
        <v>-</v>
      </c>
      <c r="F37" s="42"/>
      <c r="G37" s="13"/>
      <c r="H37" s="12"/>
    </row>
    <row r="38" spans="2:8" ht="24.95" customHeight="1" thickBot="1" x14ac:dyDescent="0.3">
      <c r="B38" s="477" t="s">
        <v>17</v>
      </c>
      <c r="C38" s="478"/>
      <c r="D38" s="478"/>
      <c r="E38" s="478"/>
      <c r="F38" s="308" t="str">
        <f>IF(E15=Výpočty!B23,'Veřejný subjekt (410) '!E32,IF(E15=Výpočty!B24,'Podnikatel (500)'!E32,IF(E15=Výpočty!B25,'Banky a fin. instituce (501)'!E32,IF(E15=Výpočty!B26,'Pojišťovny (502)'!E32,IF(E15=Výpočty!B27,'Zdrav pojišťovny (503)'!E32,IF(E15=Výpočty!B28,'Nepodnikatel (504)'!E32,"Ne"))))))</f>
        <v>Ne</v>
      </c>
      <c r="G38" s="13"/>
      <c r="H38" s="12"/>
    </row>
    <row r="39" spans="2:8" ht="16.5" thickBot="1" x14ac:dyDescent="0.3">
      <c r="B39" s="21"/>
      <c r="C39" s="13"/>
      <c r="D39" s="13"/>
      <c r="E39" s="5"/>
      <c r="F39" s="5"/>
      <c r="G39" s="13"/>
      <c r="H39" s="12"/>
    </row>
    <row r="40" spans="2:8" ht="36" customHeight="1" x14ac:dyDescent="0.25">
      <c r="B40" s="484" t="s">
        <v>102</v>
      </c>
      <c r="C40" s="485"/>
      <c r="D40" s="430" t="s">
        <v>61</v>
      </c>
      <c r="E40" s="430"/>
      <c r="F40" s="28" t="s">
        <v>46</v>
      </c>
      <c r="G40" s="13"/>
      <c r="H40" s="12"/>
    </row>
    <row r="41" spans="2:8" ht="24.95" customHeight="1" x14ac:dyDescent="0.25">
      <c r="B41" s="434" t="str">
        <f>IF(E15=Výpočty!B23,'Veřejný subjekt (410) '!B35,IF(E15=Výpočty!B24,'Podnikatel (500)'!B35,IF(E15=Výpočty!B25,'Banky a fin. instituce (501)'!B35,IF(E15=Výpočty!B26,'Pojišťovny (502)'!B35,IF(E15=Výpočty!B27,'Zdrav pojišťovny (503)'!B35,IF(E15=Výpočty!B28,'Nepodnikatel (504)'!B35,"-"))))))</f>
        <v>-</v>
      </c>
      <c r="C41" s="435"/>
      <c r="D41" s="474" t="str">
        <f>IF(E15=Výpočty!B22,"-","Insolvenční rejstřík")</f>
        <v>-</v>
      </c>
      <c r="E41" s="474"/>
      <c r="F41" s="3" t="s">
        <v>71</v>
      </c>
      <c r="G41" s="471" t="str">
        <f>IF(E15=Výpočty!B28,'Nepodnikatel (504)'!F35,IF(E15=Výpočty!B23,'Veřejný subjekt (410) '!F35,IF(E15=Výpočty!B25,'Banky a fin. instituce (501)'!F35,IF(E15=Výpočty!B27,'Zdrav pojišťovny (503)'!F35,""))))</f>
        <v/>
      </c>
      <c r="H41" s="471"/>
    </row>
    <row r="42" spans="2:8" ht="24.95" customHeight="1" x14ac:dyDescent="0.25">
      <c r="B42" s="434" t="str">
        <f>IF(E15=Výpočty!B23,'Veřejný subjekt (410) '!B36,IF(E15=Výpočty!B24,'Podnikatel (500)'!B36,IF(E15=Výpočty!B25,'Banky a fin. instituce (501)'!B36,IF(E15=Výpočty!B26,'Pojišťovny (502)'!B36,IF(E15=Výpočty!B27,'Zdrav pojišťovny (503)'!B36,IF(E15=Výpočty!B28,'Nepodnikatel (504)'!B36,"-"))))))</f>
        <v>-</v>
      </c>
      <c r="C42" s="435"/>
      <c r="D42" s="474" t="str">
        <f>IF(E15=Výpočty!B22,"-","žadatel")</f>
        <v>-</v>
      </c>
      <c r="E42" s="474"/>
      <c r="F42" s="3" t="s">
        <v>71</v>
      </c>
      <c r="G42" s="471"/>
      <c r="H42" s="471"/>
    </row>
    <row r="43" spans="2:8" ht="24.95" customHeight="1" thickBot="1" x14ac:dyDescent="0.3">
      <c r="B43" s="475" t="s">
        <v>19</v>
      </c>
      <c r="C43" s="476"/>
      <c r="D43" s="476"/>
      <c r="E43" s="476"/>
      <c r="F43" s="25" t="str">
        <f>IF(OR(F41="Ano",F42="Ano"),"Ano","Ne")</f>
        <v>Ne</v>
      </c>
      <c r="G43" s="13"/>
      <c r="H43" s="12"/>
    </row>
    <row r="44" spans="2:8" ht="16.5" thickBot="1" x14ac:dyDescent="0.3">
      <c r="B44" s="21"/>
      <c r="C44" s="12"/>
      <c r="D44" s="12"/>
      <c r="E44" s="9"/>
      <c r="F44" s="5"/>
      <c r="G44" s="13"/>
      <c r="H44" s="12"/>
    </row>
    <row r="45" spans="2:8" ht="36" customHeight="1" x14ac:dyDescent="0.25">
      <c r="B45" s="484" t="s">
        <v>103</v>
      </c>
      <c r="C45" s="485"/>
      <c r="D45" s="430" t="s">
        <v>61</v>
      </c>
      <c r="E45" s="430"/>
      <c r="F45" s="28" t="s">
        <v>46</v>
      </c>
      <c r="G45" s="13"/>
      <c r="H45" s="12"/>
    </row>
    <row r="46" spans="2:8" ht="30" customHeight="1" x14ac:dyDescent="0.25">
      <c r="B46" s="434" t="str">
        <f>IF(E15=Výpočty!B22,"-","Obdržel žadatel podporu na záchranu a zatím nesplatil půjčku nebo neukončil záruku?")</f>
        <v>-</v>
      </c>
      <c r="C46" s="435"/>
      <c r="D46" s="474" t="str">
        <f>IF(E15=Výpočty!B22,"-","žadatel")</f>
        <v>-</v>
      </c>
      <c r="E46" s="474"/>
      <c r="F46" s="3" t="s">
        <v>71</v>
      </c>
      <c r="G46" s="43"/>
      <c r="H46" s="12"/>
    </row>
    <row r="47" spans="2:8" ht="30" customHeight="1" x14ac:dyDescent="0.25">
      <c r="B47" s="434" t="str">
        <f>IF(E15=Výpočty!B22,"-","Obdržel žadatel podporu na restrukturalizaci a stále se na něj uplatňuje plán restrukturalizace?")</f>
        <v>-</v>
      </c>
      <c r="C47" s="435"/>
      <c r="D47" s="474" t="str">
        <f>IF(E15=Výpočty!B22,"-","žadatel")</f>
        <v>-</v>
      </c>
      <c r="E47" s="474"/>
      <c r="F47" s="3" t="s">
        <v>71</v>
      </c>
      <c r="G47" s="13"/>
      <c r="H47" s="12"/>
    </row>
    <row r="48" spans="2:8" ht="24.75" customHeight="1" thickBot="1" x14ac:dyDescent="0.3">
      <c r="B48" s="475" t="s">
        <v>20</v>
      </c>
      <c r="C48" s="476"/>
      <c r="D48" s="476"/>
      <c r="E48" s="476"/>
      <c r="F48" s="25" t="str">
        <f>IF(OR(F46="Ano",F47="Ano"),"Ano","Ne")</f>
        <v>Ne</v>
      </c>
      <c r="G48" s="13"/>
      <c r="H48" s="12"/>
    </row>
    <row r="49" spans="2:9" ht="16.5" thickBot="1" x14ac:dyDescent="0.3">
      <c r="B49" s="21"/>
      <c r="C49" s="12"/>
      <c r="D49" s="12"/>
      <c r="E49" s="9"/>
      <c r="F49" s="5"/>
      <c r="G49" s="13"/>
      <c r="H49" s="12"/>
    </row>
    <row r="50" spans="2:9" ht="36" customHeight="1" thickBot="1" x14ac:dyDescent="0.3">
      <c r="B50" s="481" t="s">
        <v>104</v>
      </c>
      <c r="C50" s="482"/>
      <c r="D50" s="482"/>
      <c r="E50" s="483"/>
      <c r="F50" s="26" t="str">
        <f>IF(OR(E24="kritéria A,C,D,E",E24="kritéria B,C,D,E",E24="kritéria C,D,E"),"RELEVANTNÍ","NERELEVANTNÍ")</f>
        <v>NERELEVANTNÍ</v>
      </c>
      <c r="G50" s="17"/>
      <c r="H50" s="8"/>
    </row>
    <row r="51" spans="2:9" ht="6.75" customHeight="1" thickBot="1" x14ac:dyDescent="0.3">
      <c r="B51" s="21"/>
      <c r="C51" s="12"/>
      <c r="D51" s="12"/>
      <c r="E51" s="9"/>
      <c r="F51" s="21"/>
      <c r="G51" s="21"/>
      <c r="H51" s="8"/>
    </row>
    <row r="52" spans="2:9" ht="18" customHeight="1" x14ac:dyDescent="0.25">
      <c r="B52" s="484" t="s">
        <v>105</v>
      </c>
      <c r="C52" s="485"/>
      <c r="D52" s="430" t="s">
        <v>61</v>
      </c>
      <c r="E52" s="432" t="s">
        <v>98</v>
      </c>
      <c r="F52" s="310" t="s">
        <v>404</v>
      </c>
      <c r="G52" s="311" t="s">
        <v>407</v>
      </c>
      <c r="H52" s="8"/>
    </row>
    <row r="53" spans="2:9" ht="18" customHeight="1" x14ac:dyDescent="0.25">
      <c r="B53" s="486"/>
      <c r="C53" s="487"/>
      <c r="D53" s="431"/>
      <c r="E53" s="433"/>
      <c r="F53" s="312" t="str">
        <f>IF($E$12&gt;1,$E$12,"")</f>
        <v/>
      </c>
      <c r="G53" s="298" t="str">
        <f>IF(I53="","",I53-1)</f>
        <v/>
      </c>
      <c r="H53" s="8"/>
      <c r="I53" s="313" t="str">
        <f>IF($E$12&gt;1,$E$12,"")</f>
        <v/>
      </c>
    </row>
    <row r="54" spans="2:9" ht="27.75" customHeight="1" x14ac:dyDescent="0.25">
      <c r="B54" s="434" t="str">
        <f>IF(E15=Výpočty!B23,'Veřejný subjekt (410) '!B47,IF(E15=Výpočty!B24,'Podnikatel (500)'!B47,IF(E15=Výpočty!B25,'Banky a fin. instituce (501)'!B47,IF(E15=Výpočty!B26,'Pojišťovny (502)'!B47,IF(E15=Výpočty!B27,'Zdrav pojišťovny (503)'!B47,IF(E15=Výpočty!B28,'Nepodnikatel (504)'!B47,"-"))))))</f>
        <v>-</v>
      </c>
      <c r="C54" s="435"/>
      <c r="D54" s="19" t="str">
        <f>IF(E15=Výpočty!B23,'Veřejný subjekt (410) '!C47,IF(E15=Výpočty!B24,'Podnikatel (500)'!C47,IF(E15=Výpočty!B25,'Banky a fin. instituce (501)'!C47,IF(E15=Výpočty!B26,'Pojišťovny (502)'!C47,IF(E15=Výpočty!B27,'Zdrav pojišťovny (503)'!C47,IF(E15=Výpočty!B28,'Nepodnikatel (504)'!C47,"-"))))))</f>
        <v>-</v>
      </c>
      <c r="E54" s="19" t="str">
        <f>IF(E15=Výpočty!B23,'Veřejný subjekt (410) '!D47,IF(E15=Výpočty!B24,'Podnikatel (500)'!D47,IF(E15=Výpočty!B25,'Banky a fin. instituce (501)'!D47,IF(E15=Výpočty!B26,'Pojišťovny (502)'!D47,IF(E15=Výpočty!B27,'Zdrav pojišťovny (503)'!D47,IF(E15=Výpočty!B28,'Nepodnikatel (504)'!D47,"-"))))))</f>
        <v>-</v>
      </c>
      <c r="F54" s="4"/>
      <c r="G54" s="42"/>
      <c r="H54" s="8"/>
    </row>
    <row r="55" spans="2:9" ht="24.95" customHeight="1" x14ac:dyDescent="0.25">
      <c r="B55" s="434" t="str">
        <f>IF(E15=Výpočty!B23,'Veřejný subjekt (410) '!B48,IF(E15=Výpočty!B24,'Podnikatel (500)'!B48,IF(E15=Výpočty!B25,'Banky a fin. instituce (501)'!B48,IF(E15=Výpočty!B26,'Pojišťovny (502)'!B48,IF(E15=Výpočty!B27,'Zdrav pojišťovny (503)'!B48,IF(E15=Výpočty!B28,'Nepodnikatel (504)'!B48,"-"))))))</f>
        <v>-</v>
      </c>
      <c r="C55" s="435"/>
      <c r="D55" s="19" t="str">
        <f>IF(E15=Výpočty!B23,'Veřejný subjekt (410) '!C48,IF(E15=Výpočty!B24,'Podnikatel (500)'!C48,IF(E15=Výpočty!B25,'Banky a fin. instituce (501)'!C48,IF(E15=Výpočty!B26,'Pojišťovny (502)'!C48,IF(E15=Výpočty!B27,'Zdrav pojišťovny (503)'!C48,IF(E15=Výpočty!B28,'Nepodnikatel (504)'!C48,"-"))))))</f>
        <v>-</v>
      </c>
      <c r="E55" s="19" t="str">
        <f>IF(E15=Výpočty!B23,'Veřejný subjekt (410) '!D48,IF(E15=Výpočty!B24,'Podnikatel (500)'!D48,IF(E15=Výpočty!B25,'Banky a fin. instituce (501)'!D48,IF(E15=Výpočty!B26,'Pojišťovny (502)'!D48,IF(E15=Výpočty!B27,'Zdrav pojišťovny (503)'!D48,IF(E15=Výpočty!B28,'Nepodnikatel (504)'!D48,"-"))))))</f>
        <v>-</v>
      </c>
      <c r="F55" s="4"/>
      <c r="G55" s="42"/>
      <c r="H55" s="8"/>
    </row>
    <row r="56" spans="2:9" ht="24.95" customHeight="1" x14ac:dyDescent="0.25">
      <c r="B56" s="434" t="str">
        <f>IF(E15=Výpočty!B23,'Veřejný subjekt (410) '!B49,IF(E15=Výpočty!B24,'Podnikatel (500)'!B49,IF(E15=Výpočty!B25,'Banky a fin. instituce (501)'!B49,IF(E15=Výpočty!B26,'Pojišťovny (502)'!B48,IF(E15=Výpočty!B27,'Zdrav pojišťovny (503)'!B49,IF(E15=Výpočty!B28,'Nepodnikatel (504)'!B49,"-"))))))</f>
        <v>-</v>
      </c>
      <c r="C56" s="435"/>
      <c r="D56" s="435"/>
      <c r="E56" s="435"/>
      <c r="F56" s="314" t="str">
        <f>IF((F54)=0,"NR",(F55/F54))</f>
        <v>NR</v>
      </c>
      <c r="G56" s="315" t="str">
        <f>IF((G54)=0,"NR",(G55/G54))</f>
        <v>NR</v>
      </c>
      <c r="H56" s="8"/>
    </row>
    <row r="57" spans="2:9" ht="24.95" customHeight="1" thickBot="1" x14ac:dyDescent="0.3">
      <c r="B57" s="475" t="s">
        <v>22</v>
      </c>
      <c r="C57" s="476"/>
      <c r="D57" s="476"/>
      <c r="E57" s="476"/>
      <c r="F57" s="316" t="str">
        <f>IF((F54)="0","Ano",IF((F56)&lt;0,"Chyba",IF(F56&gt;7.5,"Ano","Ne")))</f>
        <v>Ano</v>
      </c>
      <c r="G57" s="317" t="str">
        <f>IF((G54)="0","Ano",IF((G56)&lt;0,"Chyba",IF(G56&gt;7.5,"Ano","Ne")))</f>
        <v>Ano</v>
      </c>
      <c r="H57" s="8"/>
    </row>
    <row r="58" spans="2:9" ht="6.75" customHeight="1" thickBot="1" x14ac:dyDescent="0.3">
      <c r="B58" s="21"/>
      <c r="C58" s="12"/>
      <c r="D58" s="12"/>
      <c r="E58" s="12"/>
      <c r="F58" s="17"/>
      <c r="G58" s="17"/>
      <c r="H58" s="8"/>
    </row>
    <row r="59" spans="2:9" ht="18" customHeight="1" x14ac:dyDescent="0.25">
      <c r="B59" s="484" t="s">
        <v>106</v>
      </c>
      <c r="C59" s="485"/>
      <c r="D59" s="430" t="s">
        <v>61</v>
      </c>
      <c r="E59" s="430" t="s">
        <v>98</v>
      </c>
      <c r="F59" s="310" t="s">
        <v>404</v>
      </c>
      <c r="G59" s="311" t="s">
        <v>407</v>
      </c>
      <c r="H59" s="8"/>
    </row>
    <row r="60" spans="2:9" ht="18" customHeight="1" x14ac:dyDescent="0.25">
      <c r="B60" s="486"/>
      <c r="C60" s="487"/>
      <c r="D60" s="431"/>
      <c r="E60" s="431"/>
      <c r="F60" s="318" t="str">
        <f>F53</f>
        <v/>
      </c>
      <c r="G60" s="313" t="str">
        <f>G53</f>
        <v/>
      </c>
      <c r="H60" s="8"/>
    </row>
    <row r="61" spans="2:9" ht="24.95" customHeight="1" x14ac:dyDescent="0.25">
      <c r="B61" s="434" t="str">
        <f>IF(E15=Výpočty!B23,'Veřejný subjekt (410) '!B53,IF(E15=Výpočty!B24,'Podnikatel (500)'!B53,IF(E15=Výpočty!B25,'Banky a fin. instituce (501)'!B53,IF(E15=Výpočty!B26,'Pojišťovny (502)'!B53,IF(E15=Výpočty!B27,'Zdrav pojišťovny (503)'!B53,IF(E15=Výpočty!B28,'Nepodnikatel (504)'!B53,"-"))))))</f>
        <v>-</v>
      </c>
      <c r="C61" s="435"/>
      <c r="D61" s="19" t="str">
        <f>IF(E15=Výpočty!B23,'Veřejný subjekt (410) '!C53,IF(E15=Výpočty!B24,'Podnikatel (500)'!C53,IF(E15=Výpočty!B25,'Banky a fin. instituce (501)'!C53,IF(E15=Výpočty!B26,'Pojišťovny (502)'!C53,IF(E15=Výpočty!B27,'Zdrav pojišťovny (503)'!C53,IF(E15=Výpočty!B28,'Nepodnikatel (504)'!C53,"-"))))))</f>
        <v>-</v>
      </c>
      <c r="E61" s="19" t="str">
        <f>IF(E15=Výpočty!B23,'Veřejný subjekt (410) '!D53,IF(E15=Výpočty!B24,'Podnikatel (500)'!D53,IF(E15=Výpočty!B25,'Banky a fin. instituce (501)'!D53,IF(E15=Výpočty!B26,'Pojišťovny (502)'!D53,IF(E15=Výpočty!B27,'Zdrav pojišťovny (503)'!D53,IF(E15=Výpočty!B28,'Nepodnikatel (504)'!D53,"-"))))))</f>
        <v>-</v>
      </c>
      <c r="F61" s="128"/>
      <c r="G61" s="129"/>
      <c r="H61" s="8"/>
    </row>
    <row r="62" spans="2:9" ht="24.95" customHeight="1" x14ac:dyDescent="0.25">
      <c r="B62" s="434" t="str">
        <f>IF(E15=Výpočty!B23,'Veřejný subjekt (410) '!B54,IF(E15=Výpočty!B24,'Podnikatel (500)'!B54,IF(E15=Výpočty!B25,'Banky a fin. instituce (501)'!B54,IF(E15=Výpočty!B26,'Pojišťovny (502)'!B54,IF(E15=Výpočty!B27,'Zdrav pojišťovny (503)'!B54,IF(E15=Výpočty!B28,'Nepodnikatel (504)'!B54,"-"))))))</f>
        <v>-</v>
      </c>
      <c r="C62" s="435"/>
      <c r="D62" s="19" t="str">
        <f>IF(E15=Výpočty!B23,'Veřejný subjekt (410) '!C54,IF(E15=Výpočty!B24,'Podnikatel (500)'!C54,IF(E15=Výpočty!B25,'Banky a fin. instituce (501)'!C54,IF(E15=Výpočty!B26,'Pojišťovny (502)'!C54,IF(E15=Výpočty!B27,'Zdrav pojišťovny (503)'!C54,IF(E15=Výpočty!B28,'Nepodnikatel (504)'!C54,"-"))))))</f>
        <v>-</v>
      </c>
      <c r="E62" s="19" t="str">
        <f>IF(E15=Výpočty!B23,'Veřejný subjekt (410) '!D54,IF(E15=Výpočty!B24,'Podnikatel (500)'!D54,IF(E15=Výpočty!B25,'Banky a fin. instituce (501)'!D54,IF(E15=Výpočty!B26,'Pojišťovny (502)'!D54,IF(E15=Výpočty!B27,'Zdrav pojišťovny (503)'!D54,IF(E15=Výpočty!B28,'Nepodnikatel (504)'!D54,"-"))))))</f>
        <v>-</v>
      </c>
      <c r="F62" s="4"/>
      <c r="G62" s="42"/>
      <c r="H62" s="8"/>
    </row>
    <row r="63" spans="2:9" ht="24.95" customHeight="1" x14ac:dyDescent="0.25">
      <c r="B63" s="434" t="str">
        <f>IF(E15=Výpočty!B23,'Veřejný subjekt (410) '!B55,IF(E15=Výpočty!B24,'Podnikatel (500)'!B55,IF(E15=Výpočty!B25,'Banky a fin. instituce (501)'!B55,IF(E15=Výpočty!B26,'Pojišťovny (502)'!B55,IF(E15=Výpočty!B27,'Zdrav pojišťovny (503)'!B55,IF(E15=Výpočty!B28,'Nepodnikatel (504)'!B55,"-"))))))</f>
        <v>-</v>
      </c>
      <c r="C63" s="435"/>
      <c r="D63" s="19" t="str">
        <f>IF(E15=Výpočty!B23,'Veřejný subjekt (410) '!C55,IF(E15=Výpočty!B24,'Podnikatel (500)'!C55,IF(E15=Výpočty!B25,'Banky a fin. instituce (501)'!C55,IF(E15=Výpočty!B26,'Pojišťovny (502)'!C55,IF(E15=Výpočty!B27,'Zdrav pojišťovny (503)'!C55,IF(E15=Výpočty!B28,'Nepodnikatel (504)'!C55,"-"))))))</f>
        <v>-</v>
      </c>
      <c r="E63" s="19" t="str">
        <f>IF(E15=Výpočty!B23,'Veřejný subjekt (410) '!D55,IF(E15=Výpočty!B24,'Podnikatel (500)'!D55,IF(E15=Výpočty!B25,'Banky a fin. instituce (501)'!D55,IF(E15=Výpočty!B26,'Pojišťovny (502)'!D55,IF(E15=Výpočty!B27,'Zdrav pojišťovny (503)'!D55,IF(E15=Výpočty!B28,'Nepodnikatel (504)'!D55,"-"))))))</f>
        <v>-</v>
      </c>
      <c r="F63" s="4"/>
      <c r="G63" s="42"/>
      <c r="H63" s="8"/>
    </row>
    <row r="64" spans="2:9" ht="24.95" customHeight="1" x14ac:dyDescent="0.25">
      <c r="B64" s="434" t="str">
        <f>IF(E15=Výpočty!B23,'Veřejný subjekt (410) '!B56,IF(E15=Výpočty!B24,'Podnikatel (500)'!B56,IF(E15=Výpočty!B25,'Banky a fin. instituce (501)'!B56,IF(E15=Výpočty!B26,'Pojišťovny (502)'!B56,IF(E15=Výpočty!B27,'Zdrav pojišťovny (503)'!B56,IF(E15=Výpočty!B28,'Nepodnikatel (504)'!B56,"-"))))))</f>
        <v>-</v>
      </c>
      <c r="C64" s="435"/>
      <c r="D64" s="435"/>
      <c r="E64" s="435"/>
      <c r="F64" s="314" t="str">
        <f>IF(F62=0,"NR",(F61+F62+F63)/F62)</f>
        <v>NR</v>
      </c>
      <c r="G64" s="315" t="str">
        <f>IF(G62=0,"NR",(G61+G62+G63)/G62)</f>
        <v>NR</v>
      </c>
      <c r="H64" s="8"/>
    </row>
    <row r="65" spans="2:8" ht="24.95" customHeight="1" thickBot="1" x14ac:dyDescent="0.3">
      <c r="B65" s="475" t="s">
        <v>107</v>
      </c>
      <c r="C65" s="476"/>
      <c r="D65" s="476"/>
      <c r="E65" s="476"/>
      <c r="F65" s="316" t="str">
        <f>IF((F64)="NR","NR",IF((F64)&lt;1,"Ano","Ne"))</f>
        <v>NR</v>
      </c>
      <c r="G65" s="317" t="str">
        <f>IF((G64)="NR","NR",IF((G64)&lt;1,"Ano","Ne"))</f>
        <v>NR</v>
      </c>
      <c r="H65" s="8"/>
    </row>
    <row r="66" spans="2:8" ht="6.75" customHeight="1" thickBot="1" x14ac:dyDescent="0.3">
      <c r="B66" s="21"/>
      <c r="C66" s="12"/>
      <c r="D66" s="12"/>
      <c r="E66" s="9"/>
      <c r="F66" s="5"/>
      <c r="G66" s="13"/>
      <c r="H66" s="12"/>
    </row>
    <row r="67" spans="2:8" ht="24.95" customHeight="1" thickBot="1" x14ac:dyDescent="0.3">
      <c r="B67" s="495" t="s">
        <v>29</v>
      </c>
      <c r="C67" s="496"/>
      <c r="D67" s="496"/>
      <c r="E67" s="497"/>
      <c r="F67" s="14" t="str">
        <f>IF(AND(F57="ANO",G57="Ano",F65="Ano",G65="Ano"),"Ano","Ne")</f>
        <v>Ne</v>
      </c>
      <c r="G67" s="13"/>
      <c r="H67" s="15"/>
    </row>
    <row r="68" spans="2:8" ht="22.5" customHeight="1" thickBot="1" x14ac:dyDescent="0.3">
      <c r="B68" s="21"/>
      <c r="C68" s="12"/>
      <c r="D68" s="12"/>
      <c r="E68" s="9"/>
      <c r="F68" s="5"/>
      <c r="G68" s="13"/>
      <c r="H68" s="12"/>
    </row>
    <row r="69" spans="2:8" ht="56.25" customHeight="1" thickBot="1" x14ac:dyDescent="0.3">
      <c r="B69" s="492" t="s">
        <v>108</v>
      </c>
      <c r="C69" s="493"/>
      <c r="D69" s="493"/>
      <c r="E69" s="494"/>
      <c r="F69" s="16" t="str">
        <f>IF(OR(F31="ANO",F38="Ano",F43="Ano",F48="Ano",F67="Ano"),"Ano","Ne")</f>
        <v>Ne</v>
      </c>
      <c r="G69" s="299" t="s">
        <v>412</v>
      </c>
      <c r="H69" s="319"/>
    </row>
    <row r="70" spans="2:8" x14ac:dyDescent="0.25">
      <c r="B70" s="436" t="str">
        <f>IF(E15=Výpočty!B23,"Žadatel, který vede účetnictví dle vyhlášky č. 410/2009 Sb. nemusí vyplňovat list Skupina podniků - Test samotného žadatele je dostatečný.","")</f>
        <v/>
      </c>
      <c r="C70" s="436"/>
      <c r="D70" s="436"/>
      <c r="E70" s="436"/>
      <c r="F70" s="436"/>
      <c r="G70" s="436"/>
    </row>
    <row r="71" spans="2:8" x14ac:dyDescent="0.25">
      <c r="B71" s="436"/>
      <c r="C71" s="436"/>
      <c r="D71" s="436"/>
      <c r="E71" s="436"/>
      <c r="F71" s="436"/>
      <c r="G71" s="436"/>
    </row>
    <row r="72" spans="2:8" x14ac:dyDescent="0.25">
      <c r="B72" s="365" t="str">
        <f>IF(F69="Ano","Výsledek testu je pozitivní (žadatel je podnikem v obtížích). Nepokračujte v testu dále, žadateli nelze poskytnout podporu!","")</f>
        <v/>
      </c>
    </row>
    <row r="73" spans="2:8" ht="16.5" customHeight="1" x14ac:dyDescent="0.25">
      <c r="B73" s="134" t="str">
        <f>IF(OR(E15=Výpočty!B23,F69="Ano"),"","Krok 5: Kliknutím na níže uvedené pole dojde k přesměrování na list Skupina podniků.")</f>
        <v>Krok 5: Kliknutím na níže uvedené pole dojde k přesměrování na list Skupina podniků.</v>
      </c>
    </row>
    <row r="74" spans="2:8" ht="4.5" customHeight="1" x14ac:dyDescent="0.25"/>
    <row r="75" spans="2:8" x14ac:dyDescent="0.25">
      <c r="B75" s="429" t="s">
        <v>413</v>
      </c>
    </row>
    <row r="76" spans="2:8" x14ac:dyDescent="0.25">
      <c r="B76" s="429"/>
    </row>
    <row r="80" spans="2:8" x14ac:dyDescent="0.25">
      <c r="B80" s="245"/>
    </row>
  </sheetData>
  <sheetProtection algorithmName="SHA-512" hashValue="gv2M7jhusy/bf60j6IX3BGDYpxERGQsgEb4kbHLKLzsQF6H8SRB7aZGvnN4sEXz97sGm2lHHXVdbvZgvd/LYQw==" saltValue="OaddBSLSNUz4Ic8pgae0zg==" spinCount="100000" sheet="1" selectLockedCells="1"/>
  <mergeCells count="90">
    <mergeCell ref="B17:D17"/>
    <mergeCell ref="B18:D18"/>
    <mergeCell ref="B19:D19"/>
    <mergeCell ref="B22:D22"/>
    <mergeCell ref="B69:E69"/>
    <mergeCell ref="B62:C62"/>
    <mergeCell ref="B63:C63"/>
    <mergeCell ref="B64:E64"/>
    <mergeCell ref="B65:E65"/>
    <mergeCell ref="B67:E67"/>
    <mergeCell ref="B57:E57"/>
    <mergeCell ref="B55:C55"/>
    <mergeCell ref="B59:C60"/>
    <mergeCell ref="B61:C61"/>
    <mergeCell ref="B24:D24"/>
    <mergeCell ref="B26:C27"/>
    <mergeCell ref="B7:D7"/>
    <mergeCell ref="B9:D9"/>
    <mergeCell ref="B10:D10"/>
    <mergeCell ref="B14:D14"/>
    <mergeCell ref="B15:D15"/>
    <mergeCell ref="C8:D8"/>
    <mergeCell ref="B48:E48"/>
    <mergeCell ref="B50:E50"/>
    <mergeCell ref="B52:C53"/>
    <mergeCell ref="B54:C54"/>
    <mergeCell ref="B35:C35"/>
    <mergeCell ref="B36:C36"/>
    <mergeCell ref="B37:C37"/>
    <mergeCell ref="B38:E38"/>
    <mergeCell ref="B40:C40"/>
    <mergeCell ref="B41:C41"/>
    <mergeCell ref="D46:E46"/>
    <mergeCell ref="D47:E47"/>
    <mergeCell ref="B45:C45"/>
    <mergeCell ref="B46:C46"/>
    <mergeCell ref="B47:C47"/>
    <mergeCell ref="B31:E31"/>
    <mergeCell ref="B33:C34"/>
    <mergeCell ref="B28:C28"/>
    <mergeCell ref="B29:C29"/>
    <mergeCell ref="B30:C30"/>
    <mergeCell ref="E7:G7"/>
    <mergeCell ref="G41:H42"/>
    <mergeCell ref="G29:H30"/>
    <mergeCell ref="D45:E45"/>
    <mergeCell ref="D26:D27"/>
    <mergeCell ref="E26:E27"/>
    <mergeCell ref="D33:D34"/>
    <mergeCell ref="E33:E34"/>
    <mergeCell ref="C20:D20"/>
    <mergeCell ref="E20:G20"/>
    <mergeCell ref="C21:D21"/>
    <mergeCell ref="D40:E40"/>
    <mergeCell ref="D41:E41"/>
    <mergeCell ref="D42:E42"/>
    <mergeCell ref="B42:C42"/>
    <mergeCell ref="B43:E43"/>
    <mergeCell ref="E21:G21"/>
    <mergeCell ref="E24:F24"/>
    <mergeCell ref="E22:G22"/>
    <mergeCell ref="E17:G17"/>
    <mergeCell ref="E18:G18"/>
    <mergeCell ref="E19:G19"/>
    <mergeCell ref="G24:H24"/>
    <mergeCell ref="I12:K12"/>
    <mergeCell ref="C12:D12"/>
    <mergeCell ref="E15:G15"/>
    <mergeCell ref="B16:D16"/>
    <mergeCell ref="E12:G12"/>
    <mergeCell ref="E8:G8"/>
    <mergeCell ref="C11:D11"/>
    <mergeCell ref="E11:G11"/>
    <mergeCell ref="E16:G16"/>
    <mergeCell ref="E14:G14"/>
    <mergeCell ref="E9:G9"/>
    <mergeCell ref="E10:G10"/>
    <mergeCell ref="E4:G4"/>
    <mergeCell ref="C5:D5"/>
    <mergeCell ref="E5:G5"/>
    <mergeCell ref="E6:G6"/>
    <mergeCell ref="B4:D4"/>
    <mergeCell ref="B6:D6"/>
    <mergeCell ref="B75:B76"/>
    <mergeCell ref="D52:D53"/>
    <mergeCell ref="E52:E53"/>
    <mergeCell ref="D59:D60"/>
    <mergeCell ref="E59:E60"/>
    <mergeCell ref="B56:E56"/>
    <mergeCell ref="B70:G71"/>
  </mergeCells>
  <hyperlinks>
    <hyperlink ref="B75:B76" location="'3. Skupina podniků'!A1" display="SKUPINA PODNIKŮ" xr:uid="{18CE9579-D766-468E-B0D9-0B69C2CB6BD6}"/>
  </hyperlinks>
  <pageMargins left="0.25" right="0.25" top="0.75" bottom="0.75" header="0.3" footer="0.3"/>
  <pageSetup paperSize="9" scale="65" fitToHeight="0" orientation="portrait" r:id="rId1"/>
  <rowBreaks count="1" manualBreakCount="1">
    <brk id="48"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574" operator="containsText" text="&quot;RELEVANTNÍ&quot;" id="{3FF2C28E-A6E7-4187-85F1-345FB2953154}">
            <xm:f>NOT(ISERROR(SEARCH("""RELEVANTNÍ""",'Podnikatel (500)'!A4)))</xm:f>
            <x14:dxf>
              <font>
                <color rgb="FF006100"/>
              </font>
              <fill>
                <patternFill>
                  <bgColor rgb="FFC6EFCE"/>
                </patternFill>
              </fill>
            </x14:dxf>
          </x14:cfRule>
          <x14:cfRule type="beginsWith" priority="573" operator="beginsWith" text="RE" id="{CAA4BE30-5F4A-4913-84C4-F5F1ED0969F1}">
            <xm:f>LEFT('Podnikatel (500)'!A4,LEN("RE"))="RE"</xm:f>
            <x14:dxf>
              <font>
                <color rgb="FF006100"/>
              </font>
              <fill>
                <patternFill>
                  <bgColor rgb="FFC6EFCE"/>
                </patternFill>
              </fill>
            </x14:dxf>
          </x14:cfRule>
          <xm:sqref>A4</xm:sqref>
        </x14:conditionalFormatting>
        <x14:conditionalFormatting xmlns:xm="http://schemas.microsoft.com/office/excel/2006/main">
          <x14:cfRule type="containsText" priority="590" operator="containsText" text="&quot;RELEVANTNÍ&quot;" id="{3FF2C28E-A6E7-4187-85F1-345FB2953154}">
            <xm:f>NOT(ISERROR(SEARCH("""RELEVANTNÍ""",'Podnikatel (500)'!A18)))</xm:f>
            <x14:dxf>
              <font>
                <color rgb="FF006100"/>
              </font>
              <fill>
                <patternFill>
                  <bgColor rgb="FFC6EFCE"/>
                </patternFill>
              </fill>
            </x14:dxf>
          </x14:cfRule>
          <x14:cfRule type="beginsWith" priority="589" operator="beginsWith" text="RE" id="{CAA4BE30-5F4A-4913-84C4-F5F1ED0969F1}">
            <xm:f>LEFT('Podnikatel (500)'!A18,LEN("RE"))="RE"</xm:f>
            <x14:dxf>
              <font>
                <color rgb="FF006100"/>
              </font>
              <fill>
                <patternFill>
                  <bgColor rgb="FFC6EFCE"/>
                </patternFill>
              </fill>
            </x14:dxf>
          </x14:cfRule>
          <xm:sqref>A24</xm:sqref>
        </x14:conditionalFormatting>
        <x14:conditionalFormatting xmlns:xm="http://schemas.microsoft.com/office/excel/2006/main">
          <x14:cfRule type="beginsWith" priority="230" operator="beginsWith" text="RE" id="{CAA4BE30-5F4A-4913-84C4-F5F1ED0969F1}">
            <xm:f>LEFT('Podnikatel (500)'!A5,LEN("RE"))="RE"</xm:f>
            <x14:dxf>
              <font>
                <color rgb="FF006100"/>
              </font>
              <fill>
                <patternFill>
                  <bgColor rgb="FFC6EFCE"/>
                </patternFill>
              </fill>
            </x14:dxf>
          </x14:cfRule>
          <x14:cfRule type="containsText" priority="231" operator="containsText" text="&quot;RELEVANTNÍ&quot;" id="{3FF2C28E-A6E7-4187-85F1-345FB2953154}">
            <xm:f>NOT(ISERROR(SEARCH("""RELEVANTNÍ""",'Podnikatel (500)'!A5)))</xm:f>
            <x14:dxf>
              <font>
                <color rgb="FF006100"/>
              </font>
              <fill>
                <patternFill>
                  <bgColor rgb="FFC6EFCE"/>
                </patternFill>
              </fill>
            </x14:dxf>
          </x14:cfRule>
          <xm:sqref>B5</xm:sqref>
        </x14:conditionalFormatting>
        <x14:conditionalFormatting xmlns:xm="http://schemas.microsoft.com/office/excel/2006/main">
          <x14:cfRule type="beginsWith" priority="417" operator="beginsWith" text="RE" id="{CAA4BE30-5F4A-4913-84C4-F5F1ED0969F1}">
            <xm:f>LEFT('Podnikatel (500)'!A7,LEN("RE"))="RE"</xm:f>
            <x14:dxf>
              <font>
                <color rgb="FF006100"/>
              </font>
              <fill>
                <patternFill>
                  <bgColor rgb="FFC6EFCE"/>
                </patternFill>
              </fill>
            </x14:dxf>
          </x14:cfRule>
          <x14:cfRule type="containsText" priority="418" operator="containsText" text="&quot;RELEVANTNÍ&quot;" id="{3FF2C28E-A6E7-4187-85F1-345FB2953154}">
            <xm:f>NOT(ISERROR(SEARCH("""RELEVANTNÍ""",'Podnikatel (500)'!A7)))</xm:f>
            <x14:dxf>
              <font>
                <color rgb="FF006100"/>
              </font>
              <fill>
                <patternFill>
                  <bgColor rgb="FFC6EFCE"/>
                </patternFill>
              </fill>
            </x14:dxf>
          </x14:cfRule>
          <xm:sqref>B8</xm:sqref>
        </x14:conditionalFormatting>
        <x14:conditionalFormatting xmlns:xm="http://schemas.microsoft.com/office/excel/2006/main">
          <x14:cfRule type="beginsWith" priority="460" operator="beginsWith" text="RE" id="{CAA4BE30-5F4A-4913-84C4-F5F1ED0969F1}">
            <xm:f>LEFT('Podnikatel (500)'!A8,LEN("RE"))="RE"</xm:f>
            <x14:dxf>
              <font>
                <color rgb="FF006100"/>
              </font>
              <fill>
                <patternFill>
                  <bgColor rgb="FFC6EFCE"/>
                </patternFill>
              </fill>
            </x14:dxf>
          </x14:cfRule>
          <x14:cfRule type="containsText" priority="461" operator="containsText" text="&quot;RELEVANTNÍ&quot;" id="{3FF2C28E-A6E7-4187-85F1-345FB2953154}">
            <xm:f>NOT(ISERROR(SEARCH("""RELEVANTNÍ""",'Podnikatel (500)'!A8)))</xm:f>
            <x14:dxf>
              <font>
                <color rgb="FF006100"/>
              </font>
              <fill>
                <patternFill>
                  <bgColor rgb="FFC6EFCE"/>
                </patternFill>
              </fill>
            </x14:dxf>
          </x14:cfRule>
          <xm:sqref>B11:B12</xm:sqref>
        </x14:conditionalFormatting>
        <x14:conditionalFormatting xmlns:xm="http://schemas.microsoft.com/office/excel/2006/main">
          <x14:cfRule type="containsText" priority="507" operator="containsText" text="&quot;RELEVANTNÍ&quot;" id="{3FF2C28E-A6E7-4187-85F1-345FB2953154}">
            <xm:f>NOT(ISERROR(SEARCH("""RELEVANTNÍ""",'Podnikatel (500)'!A9)))</xm:f>
            <x14:dxf>
              <font>
                <color rgb="FF006100"/>
              </font>
              <fill>
                <patternFill>
                  <bgColor rgb="FFC6EFCE"/>
                </patternFill>
              </fill>
            </x14:dxf>
          </x14:cfRule>
          <x14:cfRule type="beginsWith" priority="506" operator="beginsWith" text="RE" id="{CAA4BE30-5F4A-4913-84C4-F5F1ED0969F1}">
            <xm:f>LEFT('Podnikatel (500)'!A9,LEN("RE"))="RE"</xm:f>
            <x14:dxf>
              <font>
                <color rgb="FF006100"/>
              </font>
              <fill>
                <patternFill>
                  <bgColor rgb="FFC6EFCE"/>
                </patternFill>
              </fill>
            </x14:dxf>
          </x14:cfRule>
          <xm:sqref>B13</xm:sqref>
        </x14:conditionalFormatting>
        <x14:conditionalFormatting xmlns:xm="http://schemas.microsoft.com/office/excel/2006/main">
          <x14:cfRule type="beginsWith" priority="44" operator="beginsWith" text="RE" id="{CAA4BE30-5F4A-4913-84C4-F5F1ED0969F1}">
            <xm:f>LEFT('Podnikatel (500)'!A14,LEN("RE"))="RE"</xm:f>
            <x14:dxf>
              <font>
                <color rgb="FF006100"/>
              </font>
              <fill>
                <patternFill>
                  <bgColor rgb="FFC6EFCE"/>
                </patternFill>
              </fill>
            </x14:dxf>
          </x14:cfRule>
          <x14:cfRule type="containsText" priority="45" operator="containsText" text="&quot;RELEVANTNÍ&quot;" id="{3FF2C28E-A6E7-4187-85F1-345FB2953154}">
            <xm:f>NOT(ISERROR(SEARCH("""RELEVANTNÍ""",'Podnikatel (500)'!A14)))</xm:f>
            <x14:dxf>
              <font>
                <color rgb="FF006100"/>
              </font>
              <fill>
                <patternFill>
                  <bgColor rgb="FFC6EFCE"/>
                </patternFill>
              </fill>
            </x14:dxf>
          </x14:cfRule>
          <xm:sqref>B20:B21 B23 B25 B32 B39 B44 B49 B51</xm:sqref>
        </x14:conditionalFormatting>
        <x14:conditionalFormatting xmlns:xm="http://schemas.microsoft.com/office/excel/2006/main">
          <x14:cfRule type="containsText" priority="527" operator="containsText" text="&quot;RELEVANTNÍ&quot;" id="{3FF2C28E-A6E7-4187-85F1-345FB2953154}">
            <xm:f>NOT(ISERROR(SEARCH("""RELEVANTNÍ""",'Podnikatel (500)'!A51)))</xm:f>
            <x14:dxf>
              <font>
                <color rgb="FF006100"/>
              </font>
              <fill>
                <patternFill>
                  <bgColor rgb="FFC6EFCE"/>
                </patternFill>
              </fill>
            </x14:dxf>
          </x14:cfRule>
          <x14:cfRule type="beginsWith" priority="526" operator="beginsWith" text="RE" id="{CAA4BE30-5F4A-4913-84C4-F5F1ED0969F1}">
            <xm:f>LEFT('Podnikatel (500)'!A51,LEN("RE"))="RE"</xm:f>
            <x14:dxf>
              <font>
                <color rgb="FF006100"/>
              </font>
              <fill>
                <patternFill>
                  <bgColor rgb="FFC6EFCE"/>
                </patternFill>
              </fill>
            </x14:dxf>
          </x14:cfRule>
          <xm:sqref>B58</xm:sqref>
        </x14:conditionalFormatting>
        <x14:conditionalFormatting xmlns:xm="http://schemas.microsoft.com/office/excel/2006/main">
          <x14:cfRule type="containsText" priority="570" operator="containsText" text="&quot;RELEVANTNÍ&quot;" id="{3FF2C28E-A6E7-4187-85F1-345FB2953154}">
            <xm:f>NOT(ISERROR(SEARCH("""RELEVANTNÍ""",'Podnikatel (500)'!A58)))</xm:f>
            <x14:dxf>
              <font>
                <color rgb="FF006100"/>
              </font>
              <fill>
                <patternFill>
                  <bgColor rgb="FFC6EFCE"/>
                </patternFill>
              </fill>
            </x14:dxf>
          </x14:cfRule>
          <x14:cfRule type="beginsWith" priority="569" operator="beginsWith" text="RE" id="{CAA4BE30-5F4A-4913-84C4-F5F1ED0969F1}">
            <xm:f>LEFT('Podnikatel (500)'!A58,LEN("RE"))="RE"</xm:f>
            <x14:dxf>
              <font>
                <color rgb="FF006100"/>
              </font>
              <fill>
                <patternFill>
                  <bgColor rgb="FFC6EFCE"/>
                </patternFill>
              </fill>
            </x14:dxf>
          </x14:cfRule>
          <xm:sqref>B66 B68</xm:sqref>
        </x14:conditionalFormatting>
        <x14:conditionalFormatting xmlns:xm="http://schemas.microsoft.com/office/excel/2006/main">
          <x14:cfRule type="beginsWith" priority="1" operator="beginsWith" text="RE" id="{2954EC55-E175-4047-80C7-2A92112410D0}">
            <xm:f>LEFT('Podnikatel (500)'!B65,LEN("RE"))="RE"</xm:f>
            <x14:dxf>
              <font>
                <color rgb="FF9C0006"/>
              </font>
              <fill>
                <patternFill>
                  <fgColor auto="1"/>
                  <bgColor theme="7" tint="0.79998168889431442"/>
                </patternFill>
              </fill>
            </x14:dxf>
          </x14:cfRule>
          <xm:sqref>B72</xm:sqref>
        </x14:conditionalFormatting>
        <x14:conditionalFormatting xmlns:xm="http://schemas.microsoft.com/office/excel/2006/main">
          <x14:cfRule type="beginsWith" priority="784" operator="beginsWith" text="RE" id="{2954EC55-E175-4047-80C7-2A92112410D0}">
            <xm:f>LEFT('Podnikatel (500)'!B64,LEN("RE"))="RE"</xm:f>
            <x14:dxf>
              <font>
                <color rgb="FF9C0006"/>
              </font>
              <fill>
                <patternFill>
                  <fgColor auto="1"/>
                  <bgColor theme="7" tint="0.79998168889431442"/>
                </patternFill>
              </fill>
            </x14:dxf>
          </x14:cfRule>
          <xm:sqref>B73</xm:sqref>
        </x14:conditionalFormatting>
        <x14:conditionalFormatting xmlns:xm="http://schemas.microsoft.com/office/excel/2006/main">
          <x14:cfRule type="expression" priority="30" id="{3397C7EF-151E-420F-A2FE-F94883EBE6B2}">
            <xm:f>'Podnikatel (500)'!$E$20="NERELEVANTNÍ"</xm:f>
            <x14:dxf>
              <font>
                <color auto="1"/>
              </font>
              <fill>
                <patternFill>
                  <bgColor theme="2"/>
                </patternFill>
              </fill>
            </x14:dxf>
          </x14:cfRule>
          <xm:sqref>F28:F30</xm:sqref>
        </x14:conditionalFormatting>
        <x14:conditionalFormatting xmlns:xm="http://schemas.microsoft.com/office/excel/2006/main">
          <x14:cfRule type="containsText" priority="510" operator="containsText" text="Ne" id="{D49CD05E-FB58-40F7-9FDB-9DC45B9CEE48}">
            <xm:f>NOT(ISERROR(SEARCH("Ne",'Podnikatel (500)'!E25)))</xm:f>
            <x14:dxf>
              <font>
                <color rgb="FF006100"/>
              </font>
              <fill>
                <patternFill>
                  <bgColor rgb="FFC6EFCE"/>
                </patternFill>
              </fill>
            </x14:dxf>
          </x14:cfRule>
          <x14:cfRule type="containsText" priority="511" operator="containsText" text="Ano" id="{C8681521-6CD2-4F4A-9D13-41D8EC67F6C9}">
            <xm:f>NOT(ISERROR(SEARCH("Ano",'Podnikatel (500)'!E25)))</xm:f>
            <x14:dxf>
              <font>
                <color rgb="FF9C0006"/>
              </font>
              <fill>
                <patternFill>
                  <bgColor rgb="FFFFC7CE"/>
                </patternFill>
              </fill>
            </x14:dxf>
          </x14:cfRule>
          <xm:sqref>F31 F38 F43 F48</xm:sqref>
        </x14:conditionalFormatting>
        <x14:conditionalFormatting xmlns:xm="http://schemas.microsoft.com/office/excel/2006/main">
          <x14:cfRule type="expression" priority="28" id="{44E0B4AF-D792-4C41-817B-1C4CD48990BC}">
            <xm:f>'Podnikatel (500)'!$E$27="NERELEVANTNÍ"</xm:f>
            <x14:dxf>
              <font>
                <color auto="1"/>
              </font>
              <fill>
                <patternFill>
                  <bgColor theme="2"/>
                </patternFill>
              </fill>
            </x14:dxf>
          </x14:cfRule>
          <xm:sqref>F35:F37</xm:sqref>
        </x14:conditionalFormatting>
        <x14:conditionalFormatting xmlns:xm="http://schemas.microsoft.com/office/excel/2006/main">
          <x14:cfRule type="containsText" priority="49" operator="containsText" text="Ano" id="{C8681521-6CD2-4F4A-9D13-41D8EC67F6C9}">
            <xm:f>NOT(ISERROR(SEARCH("Ano",'Podnikatel (500)'!E59)))</xm:f>
            <x14:dxf>
              <font>
                <color rgb="FF9C0006"/>
              </font>
              <fill>
                <patternFill>
                  <bgColor rgb="FFFFC7CE"/>
                </patternFill>
              </fill>
            </x14:dxf>
          </x14:cfRule>
          <x14:cfRule type="containsText" priority="48" operator="containsText" text="Ne" id="{D49CD05E-FB58-40F7-9FDB-9DC45B9CEE48}">
            <xm:f>NOT(ISERROR(SEARCH("Ne",'Podnikatel (500)'!E59)))</xm:f>
            <x14:dxf>
              <font>
                <color rgb="FF006100"/>
              </font>
              <fill>
                <patternFill>
                  <bgColor rgb="FFC6EFCE"/>
                </patternFill>
              </fill>
            </x14:dxf>
          </x14:cfRule>
          <xm:sqref>F67 F69</xm:sqref>
        </x14:conditionalFormatting>
        <x14:conditionalFormatting xmlns:xm="http://schemas.microsoft.com/office/excel/2006/main">
          <x14:cfRule type="beginsWith" priority="246" operator="beginsWith" text="RE" id="{4B5F30EE-DF5B-42BA-85A0-52E71ACE8EB0}">
            <xm:f>LEFT('Podnikatel (500)'!E2,LEN("RE"))="RE"</xm:f>
            <x14:dxf>
              <font>
                <color rgb="FF9C0006"/>
              </font>
              <fill>
                <patternFill>
                  <fgColor auto="1"/>
                  <bgColor theme="7" tint="0.79998168889431442"/>
                </patternFill>
              </fill>
            </x14:dxf>
          </x14:cfRule>
          <xm:sqref>F2:G6</xm:sqref>
        </x14:conditionalFormatting>
        <x14:conditionalFormatting xmlns:xm="http://schemas.microsoft.com/office/excel/2006/main">
          <x14:cfRule type="beginsWith" priority="420" operator="beginsWith" text="RE" id="{4B5F30EE-DF5B-42BA-85A0-52E71ACE8EB0}">
            <xm:f>LEFT('Podnikatel (500)'!E7,LEN("RE"))="RE"</xm:f>
            <x14:dxf>
              <font>
                <color rgb="FF9C0006"/>
              </font>
              <fill>
                <patternFill>
                  <fgColor auto="1"/>
                  <bgColor theme="7" tint="0.79998168889431442"/>
                </patternFill>
              </fill>
            </x14:dxf>
          </x14:cfRule>
          <xm:sqref>F8:G8</xm:sqref>
        </x14:conditionalFormatting>
        <x14:conditionalFormatting xmlns:xm="http://schemas.microsoft.com/office/excel/2006/main">
          <x14:cfRule type="beginsWith" priority="463" operator="beginsWith" text="RE" id="{4B5F30EE-DF5B-42BA-85A0-52E71ACE8EB0}">
            <xm:f>LEFT('Podnikatel (500)'!E8,LEN("RE"))="RE"</xm:f>
            <x14:dxf>
              <font>
                <color rgb="FF9C0006"/>
              </font>
              <fill>
                <patternFill>
                  <fgColor auto="1"/>
                  <bgColor theme="7" tint="0.79998168889431442"/>
                </patternFill>
              </fill>
            </x14:dxf>
          </x14:cfRule>
          <xm:sqref>F11:G11</xm:sqref>
        </x14:conditionalFormatting>
        <x14:conditionalFormatting xmlns:xm="http://schemas.microsoft.com/office/excel/2006/main">
          <x14:cfRule type="beginsWith" priority="509" operator="beginsWith" text="RE" id="{4B5F30EE-DF5B-42BA-85A0-52E71ACE8EB0}">
            <xm:f>LEFT('Podnikatel (500)'!E9,LEN("RE"))="RE"</xm:f>
            <x14:dxf>
              <font>
                <color rgb="FF9C0006"/>
              </font>
              <fill>
                <patternFill>
                  <fgColor auto="1"/>
                  <bgColor theme="7" tint="0.79998168889431442"/>
                </patternFill>
              </fill>
            </x14:dxf>
          </x14:cfRule>
          <xm:sqref>F13:G13</xm:sqref>
        </x14:conditionalFormatting>
        <x14:conditionalFormatting xmlns:xm="http://schemas.microsoft.com/office/excel/2006/main">
          <x14:cfRule type="beginsWith" priority="530" operator="beginsWith" text="RE" id="{4B5F30EE-DF5B-42BA-85A0-52E71ACE8EB0}">
            <xm:f>LEFT('Podnikatel (500)'!E10,LEN("RE"))="RE"</xm:f>
            <x14:dxf>
              <font>
                <color rgb="FF9C0006"/>
              </font>
              <fill>
                <patternFill>
                  <fgColor auto="1"/>
                  <bgColor theme="7" tint="0.79998168889431442"/>
                </patternFill>
              </fill>
            </x14:dxf>
          </x14:cfRule>
          <xm:sqref>F31:G33 F38:G40 F43:G52 F29:F30 F36:F37 F16:G21 F23:G23 F24 F25:G26 F27 G27:G28 F34 G34:G37 F41:F42 F53</xm:sqref>
        </x14:conditionalFormatting>
        <x14:conditionalFormatting xmlns:xm="http://schemas.microsoft.com/office/excel/2006/main">
          <x14:cfRule type="expression" priority="24" id="{C5E6C8EA-2F26-42C5-A76D-FDE465940C21}">
            <xm:f>'Podnikatel (500)'!$E$44="NERELEVANTNÍ"</xm:f>
            <x14:dxf>
              <font>
                <color auto="1"/>
              </font>
              <fill>
                <patternFill>
                  <bgColor theme="2"/>
                </patternFill>
              </fill>
            </x14:dxf>
          </x14:cfRule>
          <xm:sqref>F54:G55</xm:sqref>
        </x14:conditionalFormatting>
        <x14:conditionalFormatting xmlns:xm="http://schemas.microsoft.com/office/excel/2006/main">
          <x14:cfRule type="beginsWith" priority="541" operator="beginsWith" text="RE" id="{4B5F30EE-DF5B-42BA-85A0-52E71ACE8EB0}">
            <xm:f>LEFT('Podnikatel (500)'!E47,LEN("RE"))="RE"</xm:f>
            <x14:dxf>
              <font>
                <color rgb="FF9C0006"/>
              </font>
              <fill>
                <patternFill>
                  <fgColor auto="1"/>
                  <bgColor theme="7" tint="0.79998168889431442"/>
                </patternFill>
              </fill>
            </x14:dxf>
          </x14:cfRule>
          <xm:sqref>F55:G60 I54:I56</xm:sqref>
        </x14:conditionalFormatting>
        <x14:conditionalFormatting xmlns:xm="http://schemas.microsoft.com/office/excel/2006/main">
          <x14:cfRule type="expression" priority="22" id="{BD07195D-6173-45F3-A0E5-48E5A29387D6}">
            <xm:f>'Podnikatel (500)'!$E$44="NERELEVANTNÍ"</xm:f>
            <x14:dxf>
              <font>
                <color auto="1"/>
              </font>
              <fill>
                <patternFill>
                  <bgColor theme="2"/>
                </patternFill>
              </fill>
            </x14:dxf>
          </x14:cfRule>
          <xm:sqref>F61:G63</xm:sqref>
        </x14:conditionalFormatting>
        <x14:conditionalFormatting xmlns:xm="http://schemas.microsoft.com/office/excel/2006/main">
          <x14:cfRule type="beginsWith" priority="621" operator="beginsWith" text="RE" id="{2954EC55-E175-4047-80C7-2A92112410D0}">
            <xm:f>LEFT('Podnikatel (500)'!E53,LEN("RE"))="RE"</xm:f>
            <x14:dxf>
              <font>
                <color rgb="FF9C0006"/>
              </font>
              <fill>
                <patternFill>
                  <fgColor auto="1"/>
                  <bgColor theme="7" tint="0.79998168889431442"/>
                </patternFill>
              </fill>
            </x14:dxf>
          </x14:cfRule>
          <xm:sqref>F64:G69 F62:G62 I61:I63</xm:sqref>
        </x14:conditionalFormatting>
        <x14:conditionalFormatting xmlns:xm="http://schemas.microsoft.com/office/excel/2006/main">
          <x14:cfRule type="expression" priority="3" id="{CDA3643E-3AF3-4396-861F-F80C24E634FC}">
            <xm:f>Výpočty!$E$24</xm:f>
            <x14:dxf>
              <fill>
                <patternFill>
                  <bgColor theme="4" tint="0.79998168889431442"/>
                </patternFill>
              </fill>
            </x14:dxf>
          </x14:cfRule>
          <xm:sqref>G29:H30</xm:sqref>
        </x14:conditionalFormatting>
        <x14:conditionalFormatting xmlns:xm="http://schemas.microsoft.com/office/excel/2006/main">
          <x14:cfRule type="expression" priority="2" id="{5357BEBE-5433-4A36-8F69-A8CA837911E9}">
            <xm:f>Výpočty!$E$28</xm:f>
            <x14:dxf>
              <fill>
                <patternFill>
                  <bgColor theme="4" tint="0.79998168889431442"/>
                </patternFill>
              </fill>
            </x14:dxf>
          </x14:cfRule>
          <xm:sqref>G41:H42</xm:sqref>
        </x14:conditionalFormatting>
        <x14:conditionalFormatting xmlns:xm="http://schemas.microsoft.com/office/excel/2006/main">
          <x14:cfRule type="beginsWith" priority="748" operator="beginsWith" text="RE" id="{4B5F30EE-DF5B-42BA-85A0-52E71ACE8EB0}">
            <xm:f>LEFT('Podnikatel (500)'!F47,LEN("RE"))="RE"</xm:f>
            <x14:dxf>
              <font>
                <color rgb="FF9C0006"/>
              </font>
              <fill>
                <patternFill>
                  <fgColor auto="1"/>
                  <bgColor theme="7" tint="0.79998168889431442"/>
                </patternFill>
              </fill>
            </x14:dxf>
          </x14:cfRule>
          <xm:sqref>I53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'typy žadatelů'!$D$10:$D$26</xm:f>
          </x14:formula1>
          <xm:sqref>E20:G20</xm:sqref>
        </x14:dataValidation>
        <x14:dataValidation type="list" allowBlank="1" showErrorMessage="1" promptTitle="Vyberte" xr:uid="{00000000-0002-0000-0100-000001000000}">
          <x14:formula1>
            <xm:f>'typy žadatelů'!$B$78:$B$80</xm:f>
          </x14:formula1>
          <xm:sqref>F41:F42 F46:F47</xm:sqref>
        </x14:dataValidation>
        <x14:dataValidation type="list" allowBlank="1" showInputMessage="1" showErrorMessage="1" xr:uid="{00000000-0002-0000-0100-000002000000}">
          <x14:formula1>
            <xm:f>'typy žadatelů'!$B$78:$B$80</xm:f>
          </x14:formula1>
          <xm:sqref>E16:G19 E21:G21</xm:sqref>
        </x14:dataValidation>
        <x14:dataValidation type="list" allowBlank="1" showInputMessage="1" showErrorMessage="1" xr:uid="{00000000-0002-0000-0100-000003000000}">
          <x14:formula1>
            <xm:f>Výpočty!$B$22:$B$28</xm:f>
          </x14:formula1>
          <xm:sqref>E15:G15</xm:sqref>
        </x14:dataValidation>
        <x14:dataValidation type="list" allowBlank="1" showInputMessage="1" showErrorMessage="1" xr:uid="{00000000-0002-0000-0100-000004000000}">
          <x14:formula1>
            <xm:f>Výpočty!$B$35:$B$37</xm:f>
          </x14:formula1>
          <xm:sqref>E22:G22</xm:sqref>
        </x14:dataValidation>
        <x14:dataValidation type="list" allowBlank="1" showInputMessage="1" showErrorMessage="1" xr:uid="{00000000-0002-0000-0100-000005000000}">
          <x14:formula1>
            <xm:f>Výpočty!$B$7:$B$9</xm:f>
          </x14:formula1>
          <xm:sqref>E14:G14</xm:sqref>
        </x14:dataValidation>
        <x14:dataValidation type="list" allowBlank="1" showInputMessage="1" showErrorMessage="1" xr:uid="{00000000-0002-0000-0100-000006000000}">
          <x14:formula1>
            <xm:f>Výpočty!$B$12:$B$16</xm:f>
          </x14:formula1>
          <xm:sqref>E9:G9</xm:sqref>
        </x14:dataValidation>
        <x14:dataValidation type="list" allowBlank="1" showInputMessage="1" showErrorMessage="1" xr:uid="{00000000-0002-0000-0100-000007000000}">
          <x14:formula1>
            <xm:f>Výpočty!$B$18:$B$20</xm:f>
          </x14:formula1>
          <xm:sqref>E10:G10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N65"/>
  <sheetViews>
    <sheetView showGridLines="0" zoomScale="90" zoomScaleNormal="90" workbookViewId="0">
      <selection activeCell="E4" sqref="E4:G4"/>
    </sheetView>
  </sheetViews>
  <sheetFormatPr defaultColWidth="11" defaultRowHeight="14.25" x14ac:dyDescent="0.25"/>
  <cols>
    <col min="1" max="1" width="5" style="5" customWidth="1"/>
    <col min="2" max="2" width="32.625" style="21" customWidth="1"/>
    <col min="3" max="3" width="36.75" style="13" customWidth="1"/>
    <col min="4" max="4" width="11.625" style="13" customWidth="1"/>
    <col min="5" max="5" width="12.75" style="5" customWidth="1"/>
    <col min="6" max="6" width="18.375" style="5" customWidth="1"/>
    <col min="7" max="7" width="17.25" style="13" customWidth="1"/>
    <col min="8" max="8" width="5" style="12" customWidth="1"/>
    <col min="9" max="9" width="14.875" style="9" hidden="1" customWidth="1"/>
    <col min="10" max="11" width="0" style="9" hidden="1" customWidth="1"/>
    <col min="12" max="14" width="11" style="9"/>
    <col min="15" max="16384" width="11" style="5"/>
  </cols>
  <sheetData>
    <row r="1" spans="1:11" ht="20.25" customHeight="1" x14ac:dyDescent="0.25"/>
    <row r="2" spans="1:11" ht="24.75" customHeight="1" x14ac:dyDescent="0.25">
      <c r="B2" s="84" t="s">
        <v>409</v>
      </c>
      <c r="D2" s="47"/>
    </row>
    <row r="3" spans="1:11" ht="31.5" customHeight="1" thickBot="1" x14ac:dyDescent="0.3">
      <c r="B3" s="85" t="s">
        <v>487</v>
      </c>
    </row>
    <row r="4" spans="1:11" ht="24.75" customHeight="1" x14ac:dyDescent="0.25">
      <c r="A4" s="32" t="s">
        <v>74</v>
      </c>
      <c r="B4" s="448" t="s">
        <v>80</v>
      </c>
      <c r="C4" s="449"/>
      <c r="D4" s="449"/>
      <c r="E4" s="437"/>
      <c r="F4" s="438"/>
      <c r="G4" s="439"/>
      <c r="H4" s="48"/>
    </row>
    <row r="5" spans="1:11" ht="24.75" hidden="1" customHeight="1" x14ac:dyDescent="0.25">
      <c r="B5" s="137"/>
      <c r="C5" s="440" t="s">
        <v>0</v>
      </c>
      <c r="D5" s="440"/>
      <c r="E5" s="442"/>
      <c r="F5" s="443"/>
      <c r="G5" s="444"/>
      <c r="H5" s="86"/>
    </row>
    <row r="6" spans="1:11" ht="24.75" customHeight="1" x14ac:dyDescent="0.25">
      <c r="B6" s="451" t="s">
        <v>1</v>
      </c>
      <c r="C6" s="440"/>
      <c r="D6" s="440"/>
      <c r="E6" s="445"/>
      <c r="F6" s="446"/>
      <c r="G6" s="447"/>
      <c r="H6" s="86"/>
    </row>
    <row r="7" spans="1:11" ht="24.75" customHeight="1" x14ac:dyDescent="0.25">
      <c r="B7" s="451" t="s">
        <v>385</v>
      </c>
      <c r="C7" s="440"/>
      <c r="D7" s="440"/>
      <c r="E7" s="452"/>
      <c r="F7" s="453"/>
      <c r="G7" s="454"/>
      <c r="H7" s="87"/>
    </row>
    <row r="8" spans="1:11" ht="24.75" customHeight="1" x14ac:dyDescent="0.25">
      <c r="B8" s="451" t="str">
        <f>IF(E7="",Výpočty!B74,Výpočty!B77)</f>
        <v xml:space="preserve">Způsob podání daňového přiznání za účetní období: </v>
      </c>
      <c r="C8" s="440"/>
      <c r="D8" s="440"/>
      <c r="E8" s="502" t="s">
        <v>71</v>
      </c>
      <c r="F8" s="502"/>
      <c r="G8" s="503"/>
      <c r="H8" s="87"/>
    </row>
    <row r="9" spans="1:11" ht="24.75" customHeight="1" thickBot="1" x14ac:dyDescent="0.3">
      <c r="B9" s="488" t="str">
        <f>IF(E7="",Výpočty!B75,Výpočty!B78)</f>
        <v xml:space="preserve">Žadatel podal (tj. uzavřel) daňové přiznání za účetní období: </v>
      </c>
      <c r="C9" s="489"/>
      <c r="D9" s="489"/>
      <c r="E9" s="504" t="s">
        <v>71</v>
      </c>
      <c r="F9" s="504"/>
      <c r="G9" s="505"/>
      <c r="H9" s="87"/>
    </row>
    <row r="10" spans="1:11" ht="24.75" hidden="1" customHeight="1" x14ac:dyDescent="0.25">
      <c r="B10" s="5"/>
      <c r="C10" s="455" t="s">
        <v>392</v>
      </c>
      <c r="D10" s="456"/>
      <c r="E10" s="457" t="str">
        <f>Výpočty!D70</f>
        <v/>
      </c>
      <c r="F10" s="457"/>
      <c r="G10" s="457"/>
      <c r="H10" s="88"/>
    </row>
    <row r="11" spans="1:11" ht="24.75" hidden="1" customHeight="1" thickBot="1" x14ac:dyDescent="0.3">
      <c r="B11" s="5"/>
      <c r="C11" s="464" t="s">
        <v>393</v>
      </c>
      <c r="D11" s="465"/>
      <c r="E11" s="509" t="str">
        <f>IF(E10="","",I11)</f>
        <v/>
      </c>
      <c r="F11" s="510"/>
      <c r="G11" s="511"/>
      <c r="H11" s="88"/>
      <c r="I11" s="506" t="str">
        <f>IF(E9="Ano",E10,IF(E9="Vyberte variantu",E10,E10-1))</f>
        <v/>
      </c>
      <c r="J11" s="507"/>
      <c r="K11" s="508"/>
    </row>
    <row r="12" spans="1:11" ht="7.5" customHeight="1" thickBot="1" x14ac:dyDescent="0.3">
      <c r="C12" s="501"/>
      <c r="D12" s="501"/>
      <c r="E12" s="501"/>
      <c r="F12" s="501"/>
      <c r="G12" s="501"/>
      <c r="H12" s="89"/>
    </row>
    <row r="13" spans="1:11" ht="24.75" customHeight="1" x14ac:dyDescent="0.25">
      <c r="B13" s="448" t="s">
        <v>359</v>
      </c>
      <c r="C13" s="449"/>
      <c r="D13" s="449"/>
      <c r="E13" s="438" t="s">
        <v>71</v>
      </c>
      <c r="F13" s="438"/>
      <c r="G13" s="439"/>
      <c r="H13" s="48"/>
    </row>
    <row r="14" spans="1:11" ht="24.75" customHeight="1" x14ac:dyDescent="0.25">
      <c r="B14" s="486" t="s">
        <v>256</v>
      </c>
      <c r="C14" s="487"/>
      <c r="D14" s="487"/>
      <c r="E14" s="443" t="s">
        <v>71</v>
      </c>
      <c r="F14" s="443"/>
      <c r="G14" s="444"/>
      <c r="H14" s="90"/>
    </row>
    <row r="15" spans="1:11" ht="50.25" customHeight="1" x14ac:dyDescent="0.25">
      <c r="B15" s="451" t="s">
        <v>343</v>
      </c>
      <c r="C15" s="440"/>
      <c r="D15" s="440"/>
      <c r="E15" s="443" t="s">
        <v>71</v>
      </c>
      <c r="F15" s="443"/>
      <c r="G15" s="444"/>
      <c r="H15" s="90"/>
    </row>
    <row r="16" spans="1:11" ht="24.75" hidden="1" customHeight="1" x14ac:dyDescent="0.25">
      <c r="B16" s="137"/>
      <c r="C16" s="440" t="s">
        <v>79</v>
      </c>
      <c r="D16" s="440"/>
      <c r="E16" s="443" t="s">
        <v>177</v>
      </c>
      <c r="F16" s="443"/>
      <c r="G16" s="444"/>
      <c r="H16" s="90"/>
    </row>
    <row r="17" spans="1:8" ht="24.75" hidden="1" customHeight="1" x14ac:dyDescent="0.25">
      <c r="B17" s="137"/>
      <c r="C17" s="440" t="s">
        <v>248</v>
      </c>
      <c r="D17" s="440"/>
      <c r="E17" s="443" t="s">
        <v>71</v>
      </c>
      <c r="F17" s="443"/>
      <c r="G17" s="444"/>
      <c r="H17" s="90"/>
    </row>
    <row r="18" spans="1:8" ht="24.75" customHeight="1" thickBot="1" x14ac:dyDescent="0.3">
      <c r="B18" s="488" t="s">
        <v>345</v>
      </c>
      <c r="C18" s="489"/>
      <c r="D18" s="489"/>
      <c r="E18" s="460" t="s">
        <v>71</v>
      </c>
      <c r="F18" s="460"/>
      <c r="G18" s="461"/>
      <c r="H18" s="90"/>
    </row>
    <row r="19" spans="1:8" ht="31.5" customHeight="1" thickBot="1" x14ac:dyDescent="0.3">
      <c r="H19" s="90"/>
    </row>
    <row r="20" spans="1:8" ht="36" customHeight="1" thickBot="1" x14ac:dyDescent="0.3">
      <c r="A20" s="32" t="s">
        <v>75</v>
      </c>
      <c r="B20" s="512" t="s">
        <v>90</v>
      </c>
      <c r="C20" s="513"/>
      <c r="D20" s="513"/>
      <c r="E20" s="467" t="b">
        <f>IF(AND(E13="Ano",E14="Ano"),"kritéria C,D",IF(AND(E13="Ano",E14="Ne",E15="Ne"),"kritéria C,D",IF(AND(E13="Ano",E14="Ne",E15="Ano"),"kritéria B,C,D",IF(AND(E13="NE",E15="Ne"),"kritéria C,D,E",IF(AND(E13="NE",E15="Ano"),"kritéria B,C,D,E")))))</f>
        <v>0</v>
      </c>
      <c r="F20" s="468"/>
      <c r="G20" s="469" t="s">
        <v>414</v>
      </c>
      <c r="H20" s="517"/>
    </row>
    <row r="21" spans="1:8" ht="16.5" customHeight="1" thickBot="1" x14ac:dyDescent="0.3"/>
    <row r="22" spans="1:8" s="9" customFormat="1" ht="18" customHeight="1" x14ac:dyDescent="0.25">
      <c r="B22" s="484" t="s">
        <v>110</v>
      </c>
      <c r="C22" s="485"/>
      <c r="D22" s="430" t="s">
        <v>61</v>
      </c>
      <c r="E22" s="430" t="s">
        <v>64</v>
      </c>
      <c r="F22" s="28" t="str">
        <f>IF(OR(E20="kritéria B,C,D,E",E20="kritéria B,C,D"),"RELEVANTNÍ","NERELEVANTNÍ")</f>
        <v>NERELEVANTNÍ</v>
      </c>
      <c r="G22" s="13"/>
      <c r="H22" s="12"/>
    </row>
    <row r="23" spans="1:8" s="9" customFormat="1" ht="18" customHeight="1" x14ac:dyDescent="0.25">
      <c r="B23" s="486"/>
      <c r="C23" s="487"/>
      <c r="D23" s="431"/>
      <c r="E23" s="431"/>
      <c r="F23" s="33" t="str">
        <f>"Rok N  "&amp; IF($E$11&gt;1,$E$11,"")</f>
        <v xml:space="preserve">Rok N  </v>
      </c>
      <c r="G23" s="13"/>
      <c r="H23" s="12"/>
    </row>
    <row r="24" spans="1:8" s="9" customFormat="1" ht="27.75" customHeight="1" x14ac:dyDescent="0.25">
      <c r="B24" s="434" t="s">
        <v>15</v>
      </c>
      <c r="C24" s="435"/>
      <c r="D24" s="19" t="s">
        <v>91</v>
      </c>
      <c r="E24" s="20" t="s">
        <v>93</v>
      </c>
      <c r="F24" s="2"/>
      <c r="G24" s="13"/>
      <c r="H24" s="12"/>
    </row>
    <row r="25" spans="1:8" s="9" customFormat="1" ht="51.75" customHeight="1" x14ac:dyDescent="0.25">
      <c r="B25" s="434" t="s">
        <v>174</v>
      </c>
      <c r="C25" s="435"/>
      <c r="D25" s="19" t="s">
        <v>92</v>
      </c>
      <c r="E25" s="20" t="s">
        <v>96</v>
      </c>
      <c r="F25" s="2"/>
      <c r="G25" s="13"/>
      <c r="H25" s="12"/>
    </row>
    <row r="26" spans="1:8" s="9" customFormat="1" ht="27.75" customHeight="1" x14ac:dyDescent="0.25">
      <c r="B26" s="434" t="s">
        <v>12</v>
      </c>
      <c r="C26" s="435"/>
      <c r="D26" s="19" t="s">
        <v>92</v>
      </c>
      <c r="E26" s="20" t="s">
        <v>96</v>
      </c>
      <c r="F26" s="2"/>
      <c r="G26" s="13"/>
      <c r="H26" s="12"/>
    </row>
    <row r="27" spans="1:8" s="9" customFormat="1" ht="24.75" customHeight="1" thickBot="1" x14ac:dyDescent="0.3">
      <c r="B27" s="475" t="s">
        <v>17</v>
      </c>
      <c r="C27" s="476"/>
      <c r="D27" s="476"/>
      <c r="E27" s="476"/>
      <c r="F27" s="25" t="str">
        <f>IF(AND((F25+F26)&gt;0,F24&gt;0),"Ne",(IF((ABS(F25+F26))&gt;((F24-(F25+F26))/2),"Ano","Ne")))</f>
        <v>Ne</v>
      </c>
      <c r="G27" s="13"/>
      <c r="H27" s="12"/>
    </row>
    <row r="28" spans="1:8" s="9" customFormat="1" ht="16.5" customHeight="1" thickBot="1" x14ac:dyDescent="0.3">
      <c r="B28" s="21"/>
      <c r="C28" s="12"/>
      <c r="D28" s="12"/>
      <c r="F28" s="5"/>
      <c r="G28" s="13"/>
      <c r="H28" s="12"/>
    </row>
    <row r="29" spans="1:8" s="9" customFormat="1" ht="36" customHeight="1" x14ac:dyDescent="0.25">
      <c r="B29" s="484" t="s">
        <v>102</v>
      </c>
      <c r="C29" s="485"/>
      <c r="D29" s="430" t="s">
        <v>61</v>
      </c>
      <c r="E29" s="430"/>
      <c r="F29" s="28" t="s">
        <v>46</v>
      </c>
      <c r="G29" s="13"/>
      <c r="H29" s="12"/>
    </row>
    <row r="30" spans="1:8" s="9" customFormat="1" ht="27.75" customHeight="1" x14ac:dyDescent="0.25">
      <c r="B30" s="434" t="s">
        <v>18</v>
      </c>
      <c r="C30" s="435"/>
      <c r="D30" s="474" t="s">
        <v>63</v>
      </c>
      <c r="E30" s="474"/>
      <c r="F30" s="3" t="s">
        <v>71</v>
      </c>
      <c r="G30"/>
      <c r="H30"/>
    </row>
    <row r="31" spans="1:8" s="9" customFormat="1" ht="27.75" customHeight="1" x14ac:dyDescent="0.25">
      <c r="B31" s="434" t="s">
        <v>175</v>
      </c>
      <c r="C31" s="435"/>
      <c r="D31" s="474" t="s">
        <v>69</v>
      </c>
      <c r="E31" s="474"/>
      <c r="F31" s="3" t="s">
        <v>71</v>
      </c>
      <c r="G31"/>
      <c r="H31"/>
    </row>
    <row r="32" spans="1:8" s="9" customFormat="1" ht="24.75" customHeight="1" thickBot="1" x14ac:dyDescent="0.3">
      <c r="B32" s="475" t="s">
        <v>19</v>
      </c>
      <c r="C32" s="476"/>
      <c r="D32" s="476"/>
      <c r="E32" s="476"/>
      <c r="F32" s="25" t="str">
        <f>IF(OR(F30="Ano",F31="Ano"),"Ano","Ne")</f>
        <v>Ne</v>
      </c>
      <c r="G32" s="13"/>
      <c r="H32" s="12"/>
    </row>
    <row r="33" spans="2:9" s="9" customFormat="1" ht="16.5" customHeight="1" thickBot="1" x14ac:dyDescent="0.3">
      <c r="B33" s="21"/>
      <c r="C33" s="12"/>
      <c r="D33" s="12"/>
      <c r="F33" s="5"/>
      <c r="G33" s="13"/>
      <c r="H33" s="12"/>
    </row>
    <row r="34" spans="2:9" s="9" customFormat="1" ht="36" customHeight="1" x14ac:dyDescent="0.25">
      <c r="B34" s="484" t="s">
        <v>103</v>
      </c>
      <c r="C34" s="485"/>
      <c r="D34" s="430" t="s">
        <v>61</v>
      </c>
      <c r="E34" s="430"/>
      <c r="F34" s="28" t="s">
        <v>46</v>
      </c>
      <c r="G34" s="13"/>
      <c r="H34" s="12"/>
    </row>
    <row r="35" spans="2:9" s="9" customFormat="1" ht="30" customHeight="1" x14ac:dyDescent="0.25">
      <c r="B35" s="434" t="s">
        <v>513</v>
      </c>
      <c r="C35" s="435"/>
      <c r="D35" s="474" t="s">
        <v>69</v>
      </c>
      <c r="E35" s="474"/>
      <c r="F35" s="3" t="s">
        <v>71</v>
      </c>
      <c r="G35" s="300"/>
      <c r="H35" s="12"/>
    </row>
    <row r="36" spans="2:9" s="9" customFormat="1" ht="30" customHeight="1" x14ac:dyDescent="0.25">
      <c r="B36" s="434" t="s">
        <v>176</v>
      </c>
      <c r="C36" s="435"/>
      <c r="D36" s="474" t="s">
        <v>69</v>
      </c>
      <c r="E36" s="474"/>
      <c r="F36" s="3" t="s">
        <v>71</v>
      </c>
      <c r="G36" s="13"/>
      <c r="H36" s="12"/>
    </row>
    <row r="37" spans="2:9" s="9" customFormat="1" ht="24.75" customHeight="1" thickBot="1" x14ac:dyDescent="0.3">
      <c r="B37" s="475" t="s">
        <v>20</v>
      </c>
      <c r="C37" s="476"/>
      <c r="D37" s="476"/>
      <c r="E37" s="476"/>
      <c r="F37" s="25" t="str">
        <f>IF(OR(F35="Ano",F36="Ano"),"Ano","Ne")</f>
        <v>Ne</v>
      </c>
      <c r="G37" s="13"/>
      <c r="H37" s="12"/>
    </row>
    <row r="38" spans="2:9" s="9" customFormat="1" ht="16.5" customHeight="1" thickBot="1" x14ac:dyDescent="0.3">
      <c r="B38" s="21"/>
      <c r="C38" s="12"/>
      <c r="D38" s="12"/>
      <c r="F38" s="5"/>
      <c r="G38" s="13"/>
      <c r="H38" s="12"/>
    </row>
    <row r="39" spans="2:9" s="9" customFormat="1" ht="36" customHeight="1" thickBot="1" x14ac:dyDescent="0.3">
      <c r="B39" s="514" t="s">
        <v>104</v>
      </c>
      <c r="C39" s="515"/>
      <c r="D39" s="515"/>
      <c r="E39" s="515"/>
      <c r="F39" s="26" t="str">
        <f>IF(OR(E20="kritéria A,C,D,E",E20="kritéria B,C,D,E"),"RELEVANTNÍ","NERELEVANTNÍ")</f>
        <v>NERELEVANTNÍ</v>
      </c>
      <c r="G39" s="17"/>
      <c r="H39" s="8"/>
    </row>
    <row r="40" spans="2:9" s="9" customFormat="1" ht="7.5" customHeight="1" thickBot="1" x14ac:dyDescent="0.3">
      <c r="B40" s="21"/>
      <c r="C40" s="12"/>
      <c r="D40" s="12"/>
      <c r="F40" s="21"/>
      <c r="G40" s="21"/>
      <c r="H40" s="8"/>
    </row>
    <row r="41" spans="2:9" s="9" customFormat="1" ht="18.75" customHeight="1" x14ac:dyDescent="0.25">
      <c r="B41" s="484" t="s">
        <v>105</v>
      </c>
      <c r="C41" s="485"/>
      <c r="D41" s="430" t="s">
        <v>61</v>
      </c>
      <c r="E41" s="432" t="s">
        <v>98</v>
      </c>
      <c r="F41" s="130" t="s">
        <v>404</v>
      </c>
      <c r="G41" s="131" t="s">
        <v>407</v>
      </c>
      <c r="H41" s="8"/>
    </row>
    <row r="42" spans="2:9" s="9" customFormat="1" ht="18.75" customHeight="1" x14ac:dyDescent="0.25">
      <c r="B42" s="486"/>
      <c r="C42" s="487"/>
      <c r="D42" s="431"/>
      <c r="E42" s="433"/>
      <c r="F42" s="132" t="str">
        <f>IF($E$11&gt;1,$E$11,"")</f>
        <v/>
      </c>
      <c r="G42" s="301" t="str">
        <f>IF(I42="","",I42-1)</f>
        <v/>
      </c>
      <c r="H42" s="8"/>
      <c r="I42" s="133" t="str">
        <f>IF($E$11&gt;1,$E$11,"")</f>
        <v/>
      </c>
    </row>
    <row r="43" spans="2:9" s="9" customFormat="1" ht="27.75" customHeight="1" x14ac:dyDescent="0.25">
      <c r="B43" s="434" t="s">
        <v>15</v>
      </c>
      <c r="C43" s="435"/>
      <c r="D43" s="19" t="s">
        <v>91</v>
      </c>
      <c r="E43" s="20" t="s">
        <v>93</v>
      </c>
      <c r="F43" s="1"/>
      <c r="G43" s="2"/>
      <c r="H43" s="8"/>
    </row>
    <row r="44" spans="2:9" s="9" customFormat="1" ht="27.75" customHeight="1" x14ac:dyDescent="0.25">
      <c r="B44" s="434" t="s">
        <v>99</v>
      </c>
      <c r="C44" s="435"/>
      <c r="D44" s="19" t="s">
        <v>91</v>
      </c>
      <c r="E44" s="20" t="s">
        <v>97</v>
      </c>
      <c r="F44" s="1"/>
      <c r="G44" s="2"/>
      <c r="H44" s="8"/>
    </row>
    <row r="45" spans="2:9" s="9" customFormat="1" ht="27.75" customHeight="1" x14ac:dyDescent="0.25">
      <c r="B45" s="434" t="s">
        <v>88</v>
      </c>
      <c r="C45" s="435"/>
      <c r="D45" s="435"/>
      <c r="E45" s="435"/>
      <c r="F45" s="6" t="str">
        <f>IF((F43)=0,"NR",(F44/F43))</f>
        <v>NR</v>
      </c>
      <c r="G45" s="7" t="str">
        <f>IF((G43)=0,"NR",(G44/G43))</f>
        <v>NR</v>
      </c>
      <c r="H45" s="8"/>
    </row>
    <row r="46" spans="2:9" s="9" customFormat="1" ht="24.75" customHeight="1" thickBot="1" x14ac:dyDescent="0.3">
      <c r="B46" s="475" t="s">
        <v>22</v>
      </c>
      <c r="C46" s="476"/>
      <c r="D46" s="476"/>
      <c r="E46" s="476"/>
      <c r="F46" s="10" t="str">
        <f>IF((F43)="0","Ano",IF((F45)&lt;0,"Chyba",IF(F45&gt;7.5,"Ano","Ne")))</f>
        <v>Ano</v>
      </c>
      <c r="G46" s="11" t="str">
        <f>IF((G43)="0","Ano",IF((G45)&lt;0,"Chyba",IF(G45&gt;7.5,"Ano","Ne")))</f>
        <v>Ano</v>
      </c>
      <c r="H46" s="8"/>
    </row>
    <row r="47" spans="2:9" s="9" customFormat="1" ht="7.5" customHeight="1" thickBot="1" x14ac:dyDescent="0.3">
      <c r="B47" s="21"/>
      <c r="C47" s="12"/>
      <c r="D47" s="12"/>
      <c r="F47" s="21"/>
      <c r="G47" s="21"/>
      <c r="H47" s="8"/>
    </row>
    <row r="48" spans="2:9" s="9" customFormat="1" ht="18" customHeight="1" x14ac:dyDescent="0.25">
      <c r="B48" s="484" t="s">
        <v>106</v>
      </c>
      <c r="C48" s="485"/>
      <c r="D48" s="430" t="s">
        <v>61</v>
      </c>
      <c r="E48" s="432" t="s">
        <v>98</v>
      </c>
      <c r="F48" s="130" t="s">
        <v>404</v>
      </c>
      <c r="G48" s="131" t="s">
        <v>407</v>
      </c>
      <c r="H48" s="8"/>
    </row>
    <row r="49" spans="2:8" s="9" customFormat="1" ht="18.75" customHeight="1" x14ac:dyDescent="0.25">
      <c r="B49" s="486"/>
      <c r="C49" s="487"/>
      <c r="D49" s="431"/>
      <c r="E49" s="433"/>
      <c r="F49" s="132" t="str">
        <f>F42</f>
        <v/>
      </c>
      <c r="G49" s="133" t="str">
        <f>G42</f>
        <v/>
      </c>
      <c r="H49" s="8"/>
    </row>
    <row r="50" spans="2:8" s="9" customFormat="1" ht="27.75" customHeight="1" x14ac:dyDescent="0.25">
      <c r="B50" s="434" t="s">
        <v>23</v>
      </c>
      <c r="C50" s="435"/>
      <c r="D50" s="19"/>
      <c r="E50" s="20"/>
      <c r="F50" s="1"/>
      <c r="G50" s="2"/>
      <c r="H50" s="8"/>
    </row>
    <row r="51" spans="2:8" s="9" customFormat="1" ht="27.75" customHeight="1" x14ac:dyDescent="0.25">
      <c r="B51" s="434" t="s">
        <v>25</v>
      </c>
      <c r="C51" s="435"/>
      <c r="D51" s="516" t="s">
        <v>109</v>
      </c>
      <c r="E51" s="516"/>
      <c r="F51" s="1"/>
      <c r="G51" s="2"/>
      <c r="H51" s="8"/>
    </row>
    <row r="52" spans="2:8" s="9" customFormat="1" ht="27.75" customHeight="1" x14ac:dyDescent="0.25">
      <c r="B52" s="434" t="s">
        <v>27</v>
      </c>
      <c r="C52" s="435"/>
      <c r="D52" s="19" t="s">
        <v>92</v>
      </c>
      <c r="E52" s="20" t="s">
        <v>96</v>
      </c>
      <c r="F52" s="1"/>
      <c r="G52" s="2"/>
      <c r="H52" s="8"/>
    </row>
    <row r="53" spans="2:8" s="9" customFormat="1" ht="27.75" customHeight="1" x14ac:dyDescent="0.25">
      <c r="B53" s="434" t="s">
        <v>89</v>
      </c>
      <c r="C53" s="435"/>
      <c r="D53" s="435"/>
      <c r="E53" s="435"/>
      <c r="F53" s="6" t="str">
        <f>IF(F51=0,"NR",(F50+F51+F52)/F51)</f>
        <v>NR</v>
      </c>
      <c r="G53" s="7" t="str">
        <f>IF(G51=0,"NR",(G50+G51+G52)/G51)</f>
        <v>NR</v>
      </c>
      <c r="H53" s="8"/>
    </row>
    <row r="54" spans="2:8" s="9" customFormat="1" ht="24.75" customHeight="1" thickBot="1" x14ac:dyDescent="0.3">
      <c r="B54" s="475" t="s">
        <v>107</v>
      </c>
      <c r="C54" s="476"/>
      <c r="D54" s="476"/>
      <c r="E54" s="476"/>
      <c r="F54" s="10" t="str">
        <f>IF((F53)="NR","NR",IF((F53)&lt;1,"Ano","Ne"))</f>
        <v>NR</v>
      </c>
      <c r="G54" s="11" t="str">
        <f>IF((G53)="NR","NR",IF((G53)&lt;1,"Ano","Ne"))</f>
        <v>NR</v>
      </c>
      <c r="H54" s="8"/>
    </row>
    <row r="55" spans="2:8" ht="6.75" customHeight="1" thickBot="1" x14ac:dyDescent="0.3">
      <c r="B55" s="233"/>
      <c r="C55" s="236"/>
      <c r="D55" s="236"/>
      <c r="E55" s="237"/>
    </row>
    <row r="56" spans="2:8" s="9" customFormat="1" ht="25.5" customHeight="1" thickBot="1" x14ac:dyDescent="0.3">
      <c r="B56" s="518" t="s">
        <v>29</v>
      </c>
      <c r="C56" s="519"/>
      <c r="D56" s="519"/>
      <c r="E56" s="519"/>
      <c r="F56" s="14" t="str">
        <f>IF(AND(F46="ANO",G46="Ano",F54="Ano",G54="Ano"),"Ano","Ne")</f>
        <v>Ne</v>
      </c>
      <c r="G56" s="13"/>
      <c r="H56" s="15"/>
    </row>
    <row r="57" spans="2:8" s="9" customFormat="1" ht="22.5" customHeight="1" thickBot="1" x14ac:dyDescent="0.3">
      <c r="B57" s="21"/>
      <c r="C57" s="12"/>
      <c r="D57" s="12"/>
      <c r="F57" s="5"/>
      <c r="G57" s="13"/>
      <c r="H57" s="12"/>
    </row>
    <row r="58" spans="2:8" s="9" customFormat="1" ht="56.25" customHeight="1" thickBot="1" x14ac:dyDescent="0.3">
      <c r="B58" s="492" t="s">
        <v>108</v>
      </c>
      <c r="C58" s="493"/>
      <c r="D58" s="493"/>
      <c r="E58" s="494"/>
      <c r="F58" s="16" t="str">
        <f>IF(OR(F27="Ano",F32="Ano",F37="Ano",F56="Ano"),"Ano","Ne")</f>
        <v>Ne</v>
      </c>
      <c r="G58" s="299" t="s">
        <v>412</v>
      </c>
      <c r="H58" s="91"/>
    </row>
    <row r="60" spans="2:8" ht="15" x14ac:dyDescent="0.25">
      <c r="B60" s="365" t="str">
        <f>IF(F58="Ano","Výsledek testu je pozitivní (žadatel je podnikem v obtížích). Nepokračujte v testu dále, žadateli nelze poskytnout podporu!","")</f>
        <v/>
      </c>
    </row>
    <row r="61" spans="2:8" ht="4.5" customHeight="1" x14ac:dyDescent="0.25">
      <c r="B61" s="134"/>
    </row>
    <row r="62" spans="2:8" ht="15.75" x14ac:dyDescent="0.25">
      <c r="B62" s="134" t="str">
        <f>IF(F58="Ano","","Krok 5: Kliknutím na níže uvedené pole dojde k přesměrování na list Skupina podniků")</f>
        <v>Krok 5: Kliknutím na níže uvedené pole dojde k přesměrování na list Skupina podniků</v>
      </c>
      <c r="C62"/>
    </row>
    <row r="63" spans="2:8" ht="7.5" customHeight="1" x14ac:dyDescent="0.25">
      <c r="B63"/>
      <c r="C63"/>
    </row>
    <row r="64" spans="2:8" ht="15.75" x14ac:dyDescent="0.25">
      <c r="B64" s="429" t="s">
        <v>413</v>
      </c>
      <c r="C64"/>
    </row>
    <row r="65" spans="2:3" ht="15.75" x14ac:dyDescent="0.25">
      <c r="B65" s="429"/>
      <c r="C65"/>
    </row>
  </sheetData>
  <sheetProtection algorithmName="SHA-512" hashValue="HSZ6svG3aQQ2ZFHyOs3nPYrk37jKcV1YmR40ejvUFMFi29/2yR8CxDZVstICL+3I3HplmtWOblNcwpoWNZNw4Q==" saltValue="rtKdf63OFKle6ruT5TQddA==" spinCount="100000" sheet="1" selectLockedCells="1"/>
  <mergeCells count="74">
    <mergeCell ref="B58:E58"/>
    <mergeCell ref="B64:B65"/>
    <mergeCell ref="G20:H20"/>
    <mergeCell ref="B51:C51"/>
    <mergeCell ref="B52:C52"/>
    <mergeCell ref="B53:E53"/>
    <mergeCell ref="B54:E54"/>
    <mergeCell ref="B56:E56"/>
    <mergeCell ref="B44:C44"/>
    <mergeCell ref="B45:E45"/>
    <mergeCell ref="B46:E46"/>
    <mergeCell ref="B48:C49"/>
    <mergeCell ref="B50:C50"/>
    <mergeCell ref="B35:C35"/>
    <mergeCell ref="B36:C36"/>
    <mergeCell ref="B37:E37"/>
    <mergeCell ref="B29:C29"/>
    <mergeCell ref="B30:C30"/>
    <mergeCell ref="B31:C31"/>
    <mergeCell ref="B32:E32"/>
    <mergeCell ref="B34:C34"/>
    <mergeCell ref="D51:E51"/>
    <mergeCell ref="D41:D42"/>
    <mergeCell ref="E41:E42"/>
    <mergeCell ref="E48:E49"/>
    <mergeCell ref="D48:D49"/>
    <mergeCell ref="B43:C43"/>
    <mergeCell ref="D36:E36"/>
    <mergeCell ref="D22:D23"/>
    <mergeCell ref="E22:E23"/>
    <mergeCell ref="D29:E29"/>
    <mergeCell ref="D30:E30"/>
    <mergeCell ref="D31:E31"/>
    <mergeCell ref="D34:E34"/>
    <mergeCell ref="D35:E35"/>
    <mergeCell ref="B22:C23"/>
    <mergeCell ref="B24:C24"/>
    <mergeCell ref="B25:C25"/>
    <mergeCell ref="B26:C26"/>
    <mergeCell ref="B27:E27"/>
    <mergeCell ref="B39:E39"/>
    <mergeCell ref="B41:C42"/>
    <mergeCell ref="E20:F20"/>
    <mergeCell ref="E14:G14"/>
    <mergeCell ref="E15:G15"/>
    <mergeCell ref="C16:D16"/>
    <mergeCell ref="E16:G16"/>
    <mergeCell ref="E18:G18"/>
    <mergeCell ref="B14:D14"/>
    <mergeCell ref="B15:D15"/>
    <mergeCell ref="B18:D18"/>
    <mergeCell ref="B20:D20"/>
    <mergeCell ref="I11:K11"/>
    <mergeCell ref="C10:D10"/>
    <mergeCell ref="C11:D11"/>
    <mergeCell ref="E11:G11"/>
    <mergeCell ref="C17:D17"/>
    <mergeCell ref="E17:G17"/>
    <mergeCell ref="E7:G7"/>
    <mergeCell ref="E10:G10"/>
    <mergeCell ref="E13:G13"/>
    <mergeCell ref="C12:G12"/>
    <mergeCell ref="B7:D7"/>
    <mergeCell ref="B13:D13"/>
    <mergeCell ref="E8:G8"/>
    <mergeCell ref="B8:D8"/>
    <mergeCell ref="B9:D9"/>
    <mergeCell ref="E9:G9"/>
    <mergeCell ref="E4:G4"/>
    <mergeCell ref="C5:D5"/>
    <mergeCell ref="E5:G5"/>
    <mergeCell ref="E6:G6"/>
    <mergeCell ref="B4:D4"/>
    <mergeCell ref="B6:D6"/>
  </mergeCells>
  <conditionalFormatting sqref="B1:B3 A4 B5 B12 B16:B17 B19 A20 B21 B28">
    <cfRule type="beginsWith" dxfId="341" priority="34" operator="beginsWith" text="RE">
      <formula>LEFT(A1,LEN("RE"))="RE"</formula>
    </cfRule>
    <cfRule type="containsText" dxfId="340" priority="35" operator="containsText" text="&quot;RELEVANTNÍ&quot;">
      <formula>NOT(ISERROR(SEARCH("""RELEVANTNÍ""",A1)))</formula>
    </cfRule>
  </conditionalFormatting>
  <conditionalFormatting sqref="B33">
    <cfRule type="beginsWith" dxfId="339" priority="53" operator="beginsWith" text="RE">
      <formula>LEFT(B33,LEN("RE"))="RE"</formula>
    </cfRule>
    <cfRule type="containsText" dxfId="338" priority="54" operator="containsText" text="&quot;RELEVANTNÍ&quot;">
      <formula>NOT(ISERROR(SEARCH("""RELEVANTNÍ""",B33)))</formula>
    </cfRule>
  </conditionalFormatting>
  <conditionalFormatting sqref="B38 B40 B47 B55 B57 B59:B61 B66:B1048576">
    <cfRule type="beginsWith" dxfId="337" priority="21" operator="beginsWith" text="RE">
      <formula>LEFT(B38,LEN("RE"))="RE"</formula>
    </cfRule>
    <cfRule type="containsText" dxfId="336" priority="22" operator="containsText" text="&quot;RELEVANTNÍ&quot;">
      <formula>NOT(ISERROR(SEARCH("""RELEVANTNÍ""",B38)))</formula>
    </cfRule>
  </conditionalFormatting>
  <conditionalFormatting sqref="F23 F32:G41 F42 I42:I45 F59:G1048576">
    <cfRule type="beginsWith" dxfId="333" priority="9" operator="beginsWith" text="RE">
      <formula>LEFT(F23,LEN("RE"))="RE"</formula>
    </cfRule>
  </conditionalFormatting>
  <conditionalFormatting sqref="F24:F26">
    <cfRule type="expression" dxfId="332" priority="29">
      <formula>$F$22="NERELEVANTNÍ"</formula>
    </cfRule>
  </conditionalFormatting>
  <conditionalFormatting sqref="F25:F26">
    <cfRule type="beginsWith" dxfId="331" priority="30" operator="beginsWith" text="RE">
      <formula>LEFT(F25,LEN("RE"))="RE"</formula>
    </cfRule>
  </conditionalFormatting>
  <conditionalFormatting sqref="F27 F32 F37 F56">
    <cfRule type="containsText" dxfId="330" priority="58" operator="containsText" text="Ano">
      <formula>NOT(ISERROR(SEARCH("Ano",F27)))</formula>
    </cfRule>
  </conditionalFormatting>
  <conditionalFormatting sqref="F27 F56 F32 F37">
    <cfRule type="containsText" dxfId="329" priority="57" operator="containsText" text="Ne">
      <formula>NOT(ISERROR(SEARCH("Ne",F27)))</formula>
    </cfRule>
  </conditionalFormatting>
  <conditionalFormatting sqref="F30:F31">
    <cfRule type="beginsWith" dxfId="328" priority="12" operator="beginsWith" text="RE">
      <formula>LEFT(F30,LEN("RE"))="RE"</formula>
    </cfRule>
  </conditionalFormatting>
  <conditionalFormatting sqref="F58">
    <cfRule type="beginsWith" dxfId="327" priority="17" operator="beginsWith" text="RE">
      <formula>LEFT(F58,LEN("RE"))="RE"</formula>
    </cfRule>
    <cfRule type="containsText" dxfId="326" priority="18" operator="containsText" text="Ne">
      <formula>NOT(ISERROR(SEARCH("Ne",F58)))</formula>
    </cfRule>
    <cfRule type="containsText" dxfId="325" priority="19" operator="containsText" text="Ano">
      <formula>NOT(ISERROR(SEARCH("Ano",F58)))</formula>
    </cfRule>
  </conditionalFormatting>
  <conditionalFormatting sqref="F1:G7 F10:G10 F19:G19 F20 F21:G22 G23:G26 F27:G29">
    <cfRule type="beginsWith" dxfId="324" priority="52" operator="beginsWith" text="RE">
      <formula>LEFT(F1,LEN("RE"))="RE"</formula>
    </cfRule>
  </conditionalFormatting>
  <conditionalFormatting sqref="F13:G17">
    <cfRule type="beginsWith" dxfId="323" priority="36" operator="beginsWith" text="RE">
      <formula>LEFT(F13,LEN("RE"))="RE"</formula>
    </cfRule>
  </conditionalFormatting>
  <conditionalFormatting sqref="F43:G44">
    <cfRule type="expression" dxfId="322" priority="25">
      <formula>$F$39="NERELEVANTNÍ"</formula>
    </cfRule>
  </conditionalFormatting>
  <conditionalFormatting sqref="F44:G44">
    <cfRule type="beginsWith" dxfId="321" priority="26" operator="beginsWith" text="RE">
      <formula>LEFT(F44,LEN("RE"))="RE"</formula>
    </cfRule>
  </conditionalFormatting>
  <conditionalFormatting sqref="F45:G49">
    <cfRule type="beginsWith" dxfId="320" priority="6" operator="beginsWith" text="RE">
      <formula>LEFT(F45,LEN("RE"))="RE"</formula>
    </cfRule>
  </conditionalFormatting>
  <conditionalFormatting sqref="F50:G52">
    <cfRule type="expression" dxfId="319" priority="23">
      <formula>$F$39="NERELEVANTNÍ"</formula>
    </cfRule>
  </conditionalFormatting>
  <conditionalFormatting sqref="F51:G51">
    <cfRule type="beginsWith" dxfId="318" priority="24" operator="beginsWith" text="RE">
      <formula>LEFT(F51,LEN("RE"))="RE"</formula>
    </cfRule>
  </conditionalFormatting>
  <conditionalFormatting sqref="F53:G57">
    <cfRule type="beginsWith" dxfId="317" priority="37" operator="beginsWith" text="RE">
      <formula>LEFT(F53,LEN("RE"))="RE"</formula>
    </cfRule>
  </conditionalFormatting>
  <conditionalFormatting sqref="I50:I52">
    <cfRule type="beginsWith" dxfId="315" priority="45" operator="beginsWith" text="RE">
      <formula>LEFT(I50,LEN("RE"))="RE"</formula>
    </cfRule>
  </conditionalFormatting>
  <hyperlinks>
    <hyperlink ref="B64:B65" location="'3. Skupina podniků'!A1" display="SKUPINA PODNIKŮ" xr:uid="{0145B0AB-B8D4-4C1D-BB8A-4D6BEFA9A541}"/>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693" operator="beginsWith" text="RE" id="{E0F36DB5-8921-4979-BA64-48AA81E62F34}">
            <xm:f>LEFT('Podnikatel (500)'!B52,LEN("RE"))="RE"</xm:f>
            <x14:dxf>
              <font>
                <color rgb="FF9C0006"/>
              </font>
              <fill>
                <patternFill>
                  <fgColor auto="1"/>
                  <bgColor theme="7" tint="0.79998168889431442"/>
                </patternFill>
              </fill>
            </x14:dxf>
          </x14:cfRule>
          <xm:sqref>B60:B61</xm:sqref>
        </x14:conditionalFormatting>
        <x14:conditionalFormatting xmlns:xm="http://schemas.microsoft.com/office/excel/2006/main">
          <x14:cfRule type="beginsWith" priority="1" operator="beginsWith" text="RE" id="{E0F36DB5-8921-4979-BA64-48AA81E62F34}">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0C4024A6-378E-43FC-AF59-982F1FA0DC95}">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'typy žadatelů'!$B$78:$B$80</xm:f>
          </x14:formula1>
          <xm:sqref>E13:G15 E17:G17</xm:sqref>
        </x14:dataValidation>
        <x14:dataValidation type="list" allowBlank="1" showErrorMessage="1" promptTitle="Vyberte" xr:uid="{00000000-0002-0000-0200-000001000000}">
          <x14:formula1>
            <xm:f>'typy žadatelů'!$B$78:$B$80</xm:f>
          </x14:formula1>
          <xm:sqref>F30:F31 F35:F36</xm:sqref>
        </x14:dataValidation>
        <x14:dataValidation type="list" allowBlank="1" showInputMessage="1" showErrorMessage="1" xr:uid="{00000000-0002-0000-0200-000002000000}">
          <x14:formula1>
            <xm:f>'typy žadatelů'!$D$3:$D$7</xm:f>
          </x14:formula1>
          <xm:sqref>E16:G16</xm:sqref>
        </x14:dataValidation>
        <x14:dataValidation type="list" allowBlank="1" showInputMessage="1" showErrorMessage="1" xr:uid="{00000000-0002-0000-0200-000003000000}">
          <x14:formula1>
            <xm:f>Výpočty!$B$35:$B$37</xm:f>
          </x14:formula1>
          <xm:sqref>E18:G18</xm:sqref>
        </x14:dataValidation>
        <x14:dataValidation type="list" allowBlank="1" showInputMessage="1" showErrorMessage="1" xr:uid="{507CCDA4-65C5-4009-87D6-C2D1343500B2}">
          <x14:formula1>
            <xm:f>Výpočty!$B$12:$B$16</xm:f>
          </x14:formula1>
          <xm:sqref>E8:G8</xm:sqref>
        </x14:dataValidation>
        <x14:dataValidation type="list" allowBlank="1" showInputMessage="1" showErrorMessage="1" xr:uid="{FB21D29B-25B8-424B-AB4E-3C89F56A6873}">
          <x14:formula1>
            <xm:f>Výpočty!$B$18:$B$20</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K66"/>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0" hidden="1" customWidth="1"/>
    <col min="10" max="11" width="9" hidden="1" customWidth="1"/>
  </cols>
  <sheetData>
    <row r="1" spans="1:11" ht="20.25" customHeight="1" x14ac:dyDescent="0.25"/>
    <row r="2" spans="1:11" ht="24.75" customHeight="1" x14ac:dyDescent="0.25">
      <c r="B2" s="84" t="s">
        <v>410</v>
      </c>
      <c r="D2" s="47"/>
      <c r="E2" s="5"/>
      <c r="F2" s="5"/>
      <c r="G2" s="13"/>
      <c r="H2" s="12"/>
    </row>
    <row r="3" spans="1:11" ht="31.5" customHeight="1" thickBot="1" x14ac:dyDescent="0.3">
      <c r="B3" s="85" t="s">
        <v>487</v>
      </c>
      <c r="D3" s="13"/>
      <c r="E3" s="5"/>
      <c r="F3" s="5"/>
      <c r="G3" s="13"/>
      <c r="H3" s="12"/>
    </row>
    <row r="4" spans="1:11" ht="24.75" customHeight="1" x14ac:dyDescent="0.25">
      <c r="A4" s="32" t="s">
        <v>74</v>
      </c>
      <c r="B4" s="448" t="s">
        <v>80</v>
      </c>
      <c r="C4" s="449"/>
      <c r="D4" s="449"/>
      <c r="E4" s="438"/>
      <c r="F4" s="438"/>
      <c r="G4" s="439"/>
      <c r="H4" s="48"/>
    </row>
    <row r="5" spans="1:11" ht="24.75" hidden="1" customHeight="1" x14ac:dyDescent="0.25">
      <c r="B5" s="137"/>
      <c r="C5" s="440" t="s">
        <v>0</v>
      </c>
      <c r="D5" s="440"/>
      <c r="E5" s="443"/>
      <c r="F5" s="443"/>
      <c r="G5" s="444"/>
      <c r="H5" s="86"/>
    </row>
    <row r="6" spans="1:11" ht="24.75" customHeight="1" x14ac:dyDescent="0.25">
      <c r="B6" s="451" t="s">
        <v>1</v>
      </c>
      <c r="C6" s="440"/>
      <c r="D6" s="440"/>
      <c r="E6" s="446"/>
      <c r="F6" s="446"/>
      <c r="G6" s="447"/>
      <c r="H6" s="86"/>
    </row>
    <row r="7" spans="1:11" ht="24.75" customHeight="1" x14ac:dyDescent="0.25">
      <c r="B7" s="451" t="s">
        <v>385</v>
      </c>
      <c r="C7" s="440"/>
      <c r="D7" s="440"/>
      <c r="E7" s="453"/>
      <c r="F7" s="453"/>
      <c r="G7" s="454"/>
      <c r="H7" s="87"/>
    </row>
    <row r="8" spans="1:11" ht="24.75" customHeight="1" x14ac:dyDescent="0.25">
      <c r="B8" s="451" t="str">
        <f>IF(E7="",Výpočty!B87,Výpočty!B90)</f>
        <v xml:space="preserve">Způsob podání daňového přiznání za účetní období: </v>
      </c>
      <c r="C8" s="440"/>
      <c r="D8" s="440"/>
      <c r="E8" s="522" t="s">
        <v>71</v>
      </c>
      <c r="F8" s="502"/>
      <c r="G8" s="503"/>
      <c r="H8" s="87"/>
    </row>
    <row r="9" spans="1:11" ht="24.75" customHeight="1" thickBot="1" x14ac:dyDescent="0.3">
      <c r="B9" s="488" t="str">
        <f>IF(E7="",Výpočty!B88,Výpočty!B91)</f>
        <v xml:space="preserve">Žadatel podal (tj. uzavřel) daňové přiznání za účetní období: </v>
      </c>
      <c r="C9" s="489"/>
      <c r="D9" s="489"/>
      <c r="E9" s="523" t="s">
        <v>71</v>
      </c>
      <c r="F9" s="504"/>
      <c r="G9" s="505"/>
      <c r="H9" s="87"/>
    </row>
    <row r="10" spans="1:11" ht="24.75" hidden="1" customHeight="1" x14ac:dyDescent="0.25">
      <c r="C10" s="455" t="s">
        <v>392</v>
      </c>
      <c r="D10" s="456"/>
      <c r="E10" s="524" t="str">
        <f>Výpočty!D83</f>
        <v/>
      </c>
      <c r="F10" s="524"/>
      <c r="G10" s="525"/>
      <c r="H10" s="88"/>
    </row>
    <row r="11" spans="1:11" ht="24.75" hidden="1" customHeight="1" thickBot="1" x14ac:dyDescent="0.3">
      <c r="C11" s="464" t="s">
        <v>393</v>
      </c>
      <c r="D11" s="465"/>
      <c r="E11" s="521" t="str">
        <f>IF(E10="","",I11)</f>
        <v/>
      </c>
      <c r="F11" s="521"/>
      <c r="G11" s="521"/>
      <c r="H11" s="88"/>
      <c r="I11" s="520" t="str">
        <f>IF(E9="Ano",E10,IF(E9="Vyberte variantu",E10,E10-1))</f>
        <v/>
      </c>
      <c r="J11" s="520"/>
      <c r="K11" s="520"/>
    </row>
    <row r="12" spans="1:11" ht="6.75" customHeight="1" thickBot="1" x14ac:dyDescent="0.3">
      <c r="B12" s="21"/>
      <c r="C12" s="13"/>
      <c r="D12" s="17"/>
      <c r="E12" s="5"/>
      <c r="F12" s="5"/>
      <c r="G12" s="13"/>
      <c r="H12" s="89"/>
    </row>
    <row r="13" spans="1:11" ht="38.25" customHeight="1" x14ac:dyDescent="0.25">
      <c r="B13" s="448" t="s">
        <v>358</v>
      </c>
      <c r="C13" s="449"/>
      <c r="D13" s="449"/>
      <c r="E13" s="438" t="s">
        <v>71</v>
      </c>
      <c r="F13" s="438"/>
      <c r="G13" s="439"/>
      <c r="H13" s="48"/>
    </row>
    <row r="14" spans="1:11" ht="24.75" hidden="1" customHeight="1" x14ac:dyDescent="0.25">
      <c r="B14" s="137"/>
      <c r="C14" s="487" t="s">
        <v>256</v>
      </c>
      <c r="D14" s="487"/>
      <c r="E14" s="443" t="s">
        <v>2</v>
      </c>
      <c r="F14" s="443"/>
      <c r="G14" s="444"/>
      <c r="H14" s="90"/>
    </row>
    <row r="15" spans="1:11" ht="45.75" customHeight="1" x14ac:dyDescent="0.25">
      <c r="B15" s="451" t="s">
        <v>344</v>
      </c>
      <c r="C15" s="440"/>
      <c r="D15" s="440"/>
      <c r="E15" s="443" t="s">
        <v>71</v>
      </c>
      <c r="F15" s="443"/>
      <c r="G15" s="444"/>
      <c r="H15" s="90"/>
    </row>
    <row r="16" spans="1:11" ht="24.75" hidden="1" customHeight="1" x14ac:dyDescent="0.25">
      <c r="B16" s="137"/>
      <c r="C16" s="440" t="s">
        <v>79</v>
      </c>
      <c r="D16" s="440"/>
      <c r="E16" s="443" t="s">
        <v>177</v>
      </c>
      <c r="F16" s="443"/>
      <c r="G16" s="444"/>
      <c r="H16" s="90"/>
    </row>
    <row r="17" spans="1:8" ht="24.75" hidden="1" customHeight="1" thickBot="1" x14ac:dyDescent="0.3">
      <c r="B17" s="137"/>
      <c r="C17" s="440" t="s">
        <v>248</v>
      </c>
      <c r="D17" s="440"/>
      <c r="E17" s="443" t="s">
        <v>71</v>
      </c>
      <c r="F17" s="443"/>
      <c r="G17" s="444"/>
      <c r="H17" s="90"/>
    </row>
    <row r="18" spans="1:8" ht="24.75" customHeight="1" thickBot="1" x14ac:dyDescent="0.3">
      <c r="B18" s="488" t="s">
        <v>345</v>
      </c>
      <c r="C18" s="489"/>
      <c r="D18" s="489"/>
      <c r="E18" s="460" t="s">
        <v>71</v>
      </c>
      <c r="F18" s="460"/>
      <c r="G18" s="461"/>
      <c r="H18" s="90"/>
    </row>
    <row r="19" spans="1:8" ht="31.5" customHeight="1" thickBot="1" x14ac:dyDescent="0.3">
      <c r="B19" s="21"/>
      <c r="C19" s="13"/>
      <c r="D19" s="13"/>
      <c r="E19" s="5"/>
      <c r="F19" s="5"/>
      <c r="G19" s="13"/>
      <c r="H19" s="90"/>
    </row>
    <row r="20" spans="1:8" ht="36" customHeight="1" thickBot="1" x14ac:dyDescent="0.3">
      <c r="A20" s="32" t="s">
        <v>75</v>
      </c>
      <c r="B20" s="512" t="s">
        <v>90</v>
      </c>
      <c r="C20" s="513"/>
      <c r="D20" s="513"/>
      <c r="E20" s="467" t="b">
        <f>IF(AND(E13="Ano",E14="Ano"),"kritéria C,D",IF(AND(E13="Ano",E14="Ne",E15="Ne"),"kritéria C,D",IF(AND(E13="Ano",E14="Ne",E15="Ano"),"kritéria B,C,D",IF(AND(E13="NE",E15="Ne"),"kritéria C,D,E",IF(AND(E13="NE",E15="Ano"),"kritéria B,C,D,E")))))</f>
        <v>0</v>
      </c>
      <c r="F20" s="468"/>
      <c r="G20" s="469" t="s">
        <v>414</v>
      </c>
      <c r="H20" s="517"/>
    </row>
    <row r="21" spans="1:8" ht="16.5" thickBot="1" x14ac:dyDescent="0.3">
      <c r="B21" s="21"/>
      <c r="C21" s="13"/>
      <c r="D21" s="13"/>
      <c r="E21" s="5"/>
      <c r="F21" s="5"/>
      <c r="G21" s="13"/>
      <c r="H21" s="12"/>
    </row>
    <row r="22" spans="1:8" ht="18" customHeight="1" x14ac:dyDescent="0.25">
      <c r="B22" s="484" t="s">
        <v>110</v>
      </c>
      <c r="C22" s="485"/>
      <c r="D22" s="430" t="s">
        <v>61</v>
      </c>
      <c r="E22" s="430" t="s">
        <v>64</v>
      </c>
      <c r="F22" s="28" t="str">
        <f>IF(OR(E20="kritéria B,C,D,E",E20="kritéria B,C,D"),"RELEVANTNÍ","NERELEVANTNÍ")</f>
        <v>NERELEVANTNÍ</v>
      </c>
      <c r="G22" s="13"/>
      <c r="H22" s="12"/>
    </row>
    <row r="23" spans="1:8" ht="18" customHeight="1" x14ac:dyDescent="0.25">
      <c r="B23" s="486"/>
      <c r="C23" s="487"/>
      <c r="D23" s="431"/>
      <c r="E23" s="431"/>
      <c r="F23" s="33" t="str">
        <f>"Rok N  "&amp; IF($E$11&gt;1,$E$11,"")</f>
        <v xml:space="preserve">Rok N  </v>
      </c>
      <c r="G23" s="13"/>
      <c r="H23" s="12"/>
    </row>
    <row r="24" spans="1:8" ht="27.75" customHeight="1" x14ac:dyDescent="0.25">
      <c r="B24" s="434" t="s">
        <v>65</v>
      </c>
      <c r="C24" s="435"/>
      <c r="D24" s="19" t="s">
        <v>91</v>
      </c>
      <c r="E24" s="20" t="s">
        <v>361</v>
      </c>
      <c r="F24" s="2"/>
      <c r="G24" s="13"/>
      <c r="H24" s="12"/>
    </row>
    <row r="25" spans="1:8" ht="51.75" customHeight="1" x14ac:dyDescent="0.25">
      <c r="B25" s="434" t="s">
        <v>174</v>
      </c>
      <c r="C25" s="435"/>
      <c r="D25" s="19" t="s">
        <v>92</v>
      </c>
      <c r="E25" s="20" t="s">
        <v>362</v>
      </c>
      <c r="F25" s="2"/>
      <c r="G25" s="13"/>
      <c r="H25" s="12"/>
    </row>
    <row r="26" spans="1:8" ht="27.75" customHeight="1" x14ac:dyDescent="0.25">
      <c r="B26" s="434" t="s">
        <v>12</v>
      </c>
      <c r="C26" s="435"/>
      <c r="D26" s="19" t="s">
        <v>92</v>
      </c>
      <c r="E26" s="20" t="s">
        <v>362</v>
      </c>
      <c r="F26" s="2"/>
      <c r="G26" s="13"/>
      <c r="H26" s="12"/>
    </row>
    <row r="27" spans="1:8" ht="24.75" customHeight="1" thickBot="1" x14ac:dyDescent="0.3">
      <c r="B27" s="475" t="s">
        <v>17</v>
      </c>
      <c r="C27" s="476"/>
      <c r="D27" s="476"/>
      <c r="E27" s="476"/>
      <c r="F27" s="25" t="str">
        <f>IF(AND((F25+F26)&gt;0,F24&gt;0),"Ne",(IF((ABS(F25+F26))&gt;((F24-(F25+F26))/2),"Ano","Ne")))</f>
        <v>Ne</v>
      </c>
      <c r="G27" s="13"/>
      <c r="H27" s="12"/>
    </row>
    <row r="28" spans="1:8" ht="16.5" thickBot="1" x14ac:dyDescent="0.3">
      <c r="B28" s="21"/>
      <c r="C28" s="12"/>
      <c r="D28" s="12"/>
      <c r="E28" s="9"/>
      <c r="F28" s="5"/>
      <c r="G28" s="13"/>
      <c r="H28" s="12"/>
    </row>
    <row r="29" spans="1:8" ht="36" customHeight="1" x14ac:dyDescent="0.25">
      <c r="B29" s="484" t="s">
        <v>102</v>
      </c>
      <c r="C29" s="485"/>
      <c r="D29" s="430" t="s">
        <v>61</v>
      </c>
      <c r="E29" s="430"/>
      <c r="F29" s="28" t="s">
        <v>46</v>
      </c>
      <c r="G29" s="13"/>
      <c r="H29" s="12"/>
    </row>
    <row r="30" spans="1:8" ht="27.75" customHeight="1" x14ac:dyDescent="0.25">
      <c r="B30" s="434" t="s">
        <v>18</v>
      </c>
      <c r="C30" s="435"/>
      <c r="D30" s="474" t="s">
        <v>63</v>
      </c>
      <c r="E30" s="474"/>
      <c r="F30" s="3" t="s">
        <v>71</v>
      </c>
    </row>
    <row r="31" spans="1:8" ht="27.75" customHeight="1" x14ac:dyDescent="0.25">
      <c r="B31" s="434" t="s">
        <v>175</v>
      </c>
      <c r="C31" s="435"/>
      <c r="D31" s="474" t="s">
        <v>69</v>
      </c>
      <c r="E31" s="474"/>
      <c r="F31" s="3" t="s">
        <v>71</v>
      </c>
    </row>
    <row r="32" spans="1:8" ht="24.75" customHeight="1" thickBot="1" x14ac:dyDescent="0.3">
      <c r="B32" s="475" t="s">
        <v>19</v>
      </c>
      <c r="C32" s="476"/>
      <c r="D32" s="476"/>
      <c r="E32" s="476"/>
      <c r="F32" s="25" t="str">
        <f>IF(OR(F30="Ano",F31="Ano"),"Ano","Ne")</f>
        <v>Ne</v>
      </c>
      <c r="G32" s="13"/>
      <c r="H32" s="12"/>
    </row>
    <row r="33" spans="2:9" ht="16.5" thickBot="1" x14ac:dyDescent="0.3">
      <c r="B33" s="21"/>
      <c r="C33" s="12"/>
      <c r="D33" s="12"/>
      <c r="E33" s="9"/>
      <c r="F33" s="5"/>
      <c r="G33" s="13"/>
      <c r="H33" s="12"/>
    </row>
    <row r="34" spans="2:9" ht="36" customHeight="1" x14ac:dyDescent="0.25">
      <c r="B34" s="484" t="s">
        <v>103</v>
      </c>
      <c r="C34" s="485"/>
      <c r="D34" s="430" t="s">
        <v>61</v>
      </c>
      <c r="E34" s="430"/>
      <c r="F34" s="28" t="s">
        <v>46</v>
      </c>
      <c r="G34" s="13"/>
      <c r="H34" s="12"/>
    </row>
    <row r="35" spans="2:9" ht="30" customHeight="1" x14ac:dyDescent="0.25">
      <c r="B35" s="434" t="s">
        <v>514</v>
      </c>
      <c r="C35" s="435"/>
      <c r="D35" s="474" t="s">
        <v>69</v>
      </c>
      <c r="E35" s="474"/>
      <c r="F35" s="3" t="s">
        <v>71</v>
      </c>
      <c r="G35" s="13"/>
      <c r="H35" s="12"/>
    </row>
    <row r="36" spans="2:9" ht="30" customHeight="1" x14ac:dyDescent="0.25">
      <c r="B36" s="434" t="s">
        <v>176</v>
      </c>
      <c r="C36" s="435"/>
      <c r="D36" s="474" t="s">
        <v>69</v>
      </c>
      <c r="E36" s="474"/>
      <c r="F36" s="3" t="s">
        <v>71</v>
      </c>
      <c r="G36" s="13"/>
      <c r="H36" s="12"/>
    </row>
    <row r="37" spans="2:9" ht="24.75" customHeight="1" thickBot="1" x14ac:dyDescent="0.3">
      <c r="B37" s="475" t="s">
        <v>20</v>
      </c>
      <c r="C37" s="476"/>
      <c r="D37" s="476"/>
      <c r="E37" s="476"/>
      <c r="F37" s="25" t="str">
        <f>IF(OR(F35="Ano",F36="Ano"),"Ano","Ne")</f>
        <v>Ne</v>
      </c>
      <c r="G37" s="13"/>
      <c r="H37" s="12"/>
    </row>
    <row r="38" spans="2:9" ht="16.5" thickBot="1" x14ac:dyDescent="0.3">
      <c r="B38" s="21"/>
      <c r="C38" s="12"/>
      <c r="D38" s="12"/>
      <c r="E38" s="9"/>
      <c r="F38" s="5"/>
      <c r="G38" s="13"/>
      <c r="H38" s="12"/>
    </row>
    <row r="39" spans="2:9" ht="36" customHeight="1" thickBot="1" x14ac:dyDescent="0.3">
      <c r="B39" s="514" t="s">
        <v>104</v>
      </c>
      <c r="C39" s="515"/>
      <c r="D39" s="515"/>
      <c r="E39" s="515"/>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84" t="s">
        <v>105</v>
      </c>
      <c r="C41" s="485"/>
      <c r="D41" s="430" t="s">
        <v>61</v>
      </c>
      <c r="E41" s="432" t="s">
        <v>98</v>
      </c>
      <c r="F41" s="139" t="s">
        <v>404</v>
      </c>
      <c r="G41" s="131" t="s">
        <v>407</v>
      </c>
      <c r="H41" s="8"/>
    </row>
    <row r="42" spans="2:9" ht="18.75" customHeight="1" x14ac:dyDescent="0.25">
      <c r="B42" s="486"/>
      <c r="C42" s="487"/>
      <c r="D42" s="431"/>
      <c r="E42" s="433"/>
      <c r="F42" s="138" t="str">
        <f>IF($E$11&gt;1,$E$11,"")</f>
        <v/>
      </c>
      <c r="G42" s="142" t="str">
        <f>IF(I42="","",I42-1)</f>
        <v/>
      </c>
      <c r="H42" s="8"/>
      <c r="I42" s="133" t="str">
        <f>IF($E$11&gt;1,$E$11,"")</f>
        <v/>
      </c>
    </row>
    <row r="43" spans="2:9" ht="27.75" customHeight="1" x14ac:dyDescent="0.25">
      <c r="B43" s="434" t="s">
        <v>15</v>
      </c>
      <c r="C43" s="435"/>
      <c r="D43" s="19" t="s">
        <v>91</v>
      </c>
      <c r="E43" s="20" t="s">
        <v>361</v>
      </c>
      <c r="F43" s="1"/>
      <c r="G43" s="2"/>
      <c r="H43" s="8"/>
    </row>
    <row r="44" spans="2:9" ht="27.75" customHeight="1" x14ac:dyDescent="0.25">
      <c r="B44" s="434" t="s">
        <v>99</v>
      </c>
      <c r="C44" s="435"/>
      <c r="D44" s="19" t="s">
        <v>91</v>
      </c>
      <c r="E44" s="20" t="s">
        <v>363</v>
      </c>
      <c r="F44" s="1"/>
      <c r="G44" s="2"/>
      <c r="H44" s="8"/>
    </row>
    <row r="45" spans="2:9" ht="27.75" customHeight="1" x14ac:dyDescent="0.25">
      <c r="B45" s="434" t="s">
        <v>88</v>
      </c>
      <c r="C45" s="435"/>
      <c r="D45" s="435"/>
      <c r="E45" s="435"/>
      <c r="F45" s="6" t="str">
        <f>IF((F43)=0,"NR",(F44/F43))</f>
        <v>NR</v>
      </c>
      <c r="G45" s="7" t="str">
        <f>IF((G43)=0,"NR",(G44/G43))</f>
        <v>NR</v>
      </c>
      <c r="H45" s="8"/>
    </row>
    <row r="46" spans="2:9" ht="24.75" customHeight="1" thickBot="1" x14ac:dyDescent="0.3">
      <c r="B46" s="475" t="s">
        <v>22</v>
      </c>
      <c r="C46" s="476"/>
      <c r="D46" s="476"/>
      <c r="E46" s="476"/>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84" t="s">
        <v>106</v>
      </c>
      <c r="C48" s="485"/>
      <c r="D48" s="430" t="s">
        <v>61</v>
      </c>
      <c r="E48" s="432" t="s">
        <v>98</v>
      </c>
      <c r="F48" s="130" t="s">
        <v>404</v>
      </c>
      <c r="G48" s="131" t="s">
        <v>407</v>
      </c>
      <c r="H48" s="8"/>
    </row>
    <row r="49" spans="2:8" ht="18.75" customHeight="1" x14ac:dyDescent="0.25">
      <c r="B49" s="486"/>
      <c r="C49" s="487"/>
      <c r="D49" s="431"/>
      <c r="E49" s="433"/>
      <c r="F49" s="132" t="str">
        <f>F42</f>
        <v/>
      </c>
      <c r="G49" s="133" t="str">
        <f>G42</f>
        <v/>
      </c>
      <c r="H49" s="8"/>
    </row>
    <row r="50" spans="2:8" ht="27.75" customHeight="1" x14ac:dyDescent="0.25">
      <c r="B50" s="434" t="s">
        <v>23</v>
      </c>
      <c r="C50" s="435"/>
      <c r="D50" s="19"/>
      <c r="E50" s="20"/>
      <c r="F50" s="1"/>
      <c r="G50" s="2"/>
      <c r="H50" s="8"/>
    </row>
    <row r="51" spans="2:8" ht="27.75" customHeight="1" x14ac:dyDescent="0.25">
      <c r="B51" s="434" t="s">
        <v>25</v>
      </c>
      <c r="C51" s="435"/>
      <c r="D51" s="516" t="s">
        <v>109</v>
      </c>
      <c r="E51" s="516"/>
      <c r="F51" s="1"/>
      <c r="G51" s="2"/>
      <c r="H51" s="8"/>
    </row>
    <row r="52" spans="2:8" ht="27.75" customHeight="1" x14ac:dyDescent="0.25">
      <c r="B52" s="434" t="s">
        <v>27</v>
      </c>
      <c r="C52" s="435"/>
      <c r="D52" s="19" t="s">
        <v>92</v>
      </c>
      <c r="E52" s="20" t="s">
        <v>362</v>
      </c>
      <c r="F52" s="1"/>
      <c r="G52" s="2"/>
      <c r="H52" s="8"/>
    </row>
    <row r="53" spans="2:8" ht="27.75" customHeight="1" x14ac:dyDescent="0.25">
      <c r="B53" s="434" t="s">
        <v>89</v>
      </c>
      <c r="C53" s="435"/>
      <c r="D53" s="435"/>
      <c r="E53" s="435"/>
      <c r="F53" s="6" t="str">
        <f>IF(F51=0,"NR",(F50+F51+F52)/F51)</f>
        <v>NR</v>
      </c>
      <c r="G53" s="7" t="str">
        <f>IF(G51=0,"NR",(G50+G51+G52)/G51)</f>
        <v>NR</v>
      </c>
      <c r="H53" s="8"/>
    </row>
    <row r="54" spans="2:8" ht="27.75" customHeight="1" thickBot="1" x14ac:dyDescent="0.3">
      <c r="B54" s="475" t="s">
        <v>107</v>
      </c>
      <c r="C54" s="476"/>
      <c r="D54" s="476"/>
      <c r="E54" s="476"/>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518" t="s">
        <v>29</v>
      </c>
      <c r="C56" s="519"/>
      <c r="D56" s="519"/>
      <c r="E56" s="519"/>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526" t="s">
        <v>108</v>
      </c>
      <c r="C58" s="527"/>
      <c r="D58" s="527"/>
      <c r="E58" s="527"/>
      <c r="F58" s="16" t="str">
        <f>IF(OR(F27="Ano",F32="Ano",F37="Ano",F56="Ano"),"Ano","Ne")</f>
        <v>Ne</v>
      </c>
      <c r="G58" s="134" t="s">
        <v>412</v>
      </c>
      <c r="H58" s="91"/>
    </row>
    <row r="60" spans="2:8" x14ac:dyDescent="0.25">
      <c r="B60" s="366" t="str">
        <f>IF(F58="Ano","Výsledek testu je pozitivní (žadatel je podnikem v obtížích). Nepokračujte v testu dále, žadateli nelze poskytnout podporu!","")</f>
        <v/>
      </c>
    </row>
    <row r="61" spans="2:8" ht="3.75" customHeight="1" x14ac:dyDescent="0.25"/>
    <row r="62" spans="2:8" ht="3.75" customHeight="1" x14ac:dyDescent="0.25"/>
    <row r="63" spans="2:8" x14ac:dyDescent="0.25">
      <c r="B63" s="134" t="str">
        <f>IF(F58="Ano","","Krok 5: Kliknutím na níže uvedené pole dojde k přesměrování na list Skupina podniků")</f>
        <v>Krok 5: Kliknutím na níže uvedené pole dojde k přesměrování na list Skupina podniků</v>
      </c>
    </row>
    <row r="64" spans="2:8" ht="7.5" customHeight="1" x14ac:dyDescent="0.25"/>
    <row r="65" spans="2:2" x14ac:dyDescent="0.25">
      <c r="B65" s="429" t="s">
        <v>413</v>
      </c>
    </row>
    <row r="66" spans="2:2" x14ac:dyDescent="0.25">
      <c r="B66" s="429"/>
    </row>
  </sheetData>
  <sheetProtection algorithmName="SHA-512" hashValue="XiTMVWesaX9WvNWqKNFPy/Y+Q0pwrU5Pl3jt4yBKZYzwS5h5vELLC0yMS6MTCXIAB8a3Sv4/2X2jSorsq/RBOQ==" saltValue="tyKerBd+qvmo24if5ae0vg==" spinCount="100000" sheet="1" selectLockedCells="1"/>
  <mergeCells count="73">
    <mergeCell ref="B65:B66"/>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E8:G8"/>
    <mergeCell ref="E9:G9"/>
    <mergeCell ref="B8:D8"/>
    <mergeCell ref="B9:D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314" priority="26" operator="beginsWith" text="RE">
      <formula>LEFT(A1,LEN("RE"))="RE"</formula>
    </cfRule>
    <cfRule type="containsText" dxfId="313" priority="27" operator="containsText" text="&quot;RELEVANTNÍ&quot;">
      <formula>NOT(ISERROR(SEARCH("""RELEVANTNÍ""",A1)))</formula>
    </cfRule>
  </conditionalFormatting>
  <conditionalFormatting sqref="B33">
    <cfRule type="beginsWith" dxfId="312" priority="42" operator="beginsWith" text="RE">
      <formula>LEFT(B33,LEN("RE"))="RE"</formula>
    </cfRule>
    <cfRule type="containsText" dxfId="311" priority="43" operator="containsText" text="&quot;RELEVANTNÍ&quot;">
      <formula>NOT(ISERROR(SEARCH("""RELEVANTNÍ""",B33)))</formula>
    </cfRule>
  </conditionalFormatting>
  <conditionalFormatting sqref="B38 B40 B47 B55 B57 B59:B62">
    <cfRule type="beginsWith" dxfId="310" priority="16" operator="beginsWith" text="RE">
      <formula>LEFT(B38,LEN("RE"))="RE"</formula>
    </cfRule>
    <cfRule type="containsText" dxfId="309" priority="17" operator="containsText" text="&quot;RELEVANTNÍ&quot;">
      <formula>NOT(ISERROR(SEARCH("""RELEVANTNÍ""",B38)))</formula>
    </cfRule>
  </conditionalFormatting>
  <conditionalFormatting sqref="F23 F32:G41 F42 I42:I45">
    <cfRule type="beginsWith" dxfId="307" priority="6" operator="beginsWith" text="RE">
      <formula>LEFT(F23,LEN("RE"))="RE"</formula>
    </cfRule>
  </conditionalFormatting>
  <conditionalFormatting sqref="F24:F26">
    <cfRule type="expression" dxfId="306" priority="24">
      <formula>$F$22="NERELEVANTNÍ"</formula>
    </cfRule>
  </conditionalFormatting>
  <conditionalFormatting sqref="F25:F26">
    <cfRule type="beginsWith" dxfId="305" priority="25" operator="beginsWith" text="RE">
      <formula>LEFT(F25,LEN("RE"))="RE"</formula>
    </cfRule>
  </conditionalFormatting>
  <conditionalFormatting sqref="F27 F32 F37 F56">
    <cfRule type="containsText" dxfId="304" priority="45" operator="containsText" text="Ano">
      <formula>NOT(ISERROR(SEARCH("Ano",F27)))</formula>
    </cfRule>
  </conditionalFormatting>
  <conditionalFormatting sqref="F27 F56 F32 F37">
    <cfRule type="containsText" dxfId="303" priority="44" operator="containsText" text="Ne">
      <formula>NOT(ISERROR(SEARCH("Ne",F27)))</formula>
    </cfRule>
  </conditionalFormatting>
  <conditionalFormatting sqref="F30:F31">
    <cfRule type="beginsWith" dxfId="302" priority="9" operator="beginsWith" text="RE">
      <formula>LEFT(F30,LEN("RE"))="RE"</formula>
    </cfRule>
  </conditionalFormatting>
  <conditionalFormatting sqref="F58">
    <cfRule type="beginsWith" dxfId="301" priority="12" operator="beginsWith" text="RE">
      <formula>LEFT(F58,LEN("RE"))="RE"</formula>
    </cfRule>
    <cfRule type="containsText" dxfId="300" priority="13" operator="containsText" text="Ne">
      <formula>NOT(ISERROR(SEARCH("Ne",F58)))</formula>
    </cfRule>
    <cfRule type="containsText" dxfId="299" priority="14" operator="containsText" text="Ano">
      <formula>NOT(ISERROR(SEARCH("Ano",F58)))</formula>
    </cfRule>
  </conditionalFormatting>
  <conditionalFormatting sqref="F1:G7 F10:G10 F12:G17">
    <cfRule type="beginsWith" dxfId="298" priority="28" operator="beginsWith" text="RE">
      <formula>LEFT(F1,LEN("RE"))="RE"</formula>
    </cfRule>
  </conditionalFormatting>
  <conditionalFormatting sqref="F19:G19 F20 F21:G22 G23:G26 F27:G29 F59:G63">
    <cfRule type="beginsWith" dxfId="297" priority="41" operator="beginsWith" text="RE">
      <formula>LEFT(F19,LEN("RE"))="RE"</formula>
    </cfRule>
  </conditionalFormatting>
  <conditionalFormatting sqref="F43:G44">
    <cfRule type="expression" dxfId="296" priority="20">
      <formula>$F$39="NERELEVANTNÍ"</formula>
    </cfRule>
  </conditionalFormatting>
  <conditionalFormatting sqref="F44:G44">
    <cfRule type="beginsWith" dxfId="295" priority="21" operator="beginsWith" text="RE">
      <formula>LEFT(F44,LEN("RE"))="RE"</formula>
    </cfRule>
  </conditionalFormatting>
  <conditionalFormatting sqref="F45:G49">
    <cfRule type="beginsWith" dxfId="294" priority="4" operator="beginsWith" text="RE">
      <formula>LEFT(F45,LEN("RE"))="RE"</formula>
    </cfRule>
  </conditionalFormatting>
  <conditionalFormatting sqref="F50:G52">
    <cfRule type="expression" dxfId="293" priority="18">
      <formula>$F$39="NERELEVANTNÍ"</formula>
    </cfRule>
  </conditionalFormatting>
  <conditionalFormatting sqref="F51:G51">
    <cfRule type="beginsWith" dxfId="292" priority="19" operator="beginsWith" text="RE">
      <formula>LEFT(F51,LEN("RE"))="RE"</formula>
    </cfRule>
  </conditionalFormatting>
  <conditionalFormatting sqref="F53:G57">
    <cfRule type="beginsWith" dxfId="291" priority="29" operator="beginsWith" text="RE">
      <formula>LEFT(F53,LEN("RE"))="RE"</formula>
    </cfRule>
  </conditionalFormatting>
  <conditionalFormatting sqref="I50:I52">
    <cfRule type="beginsWith" dxfId="289" priority="37" operator="beginsWith" text="RE">
      <formula>LEFT(I50,LEN("RE"))="RE"</formula>
    </cfRule>
  </conditionalFormatting>
  <hyperlinks>
    <hyperlink ref="B65:B66" location="'3. Skupina podniků'!A1" display="SKUPINA PODNIKŮ" xr:uid="{217196F7-446A-4F4D-AF81-83670B1A2298}"/>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960415E9-9BBD-4DAC-98D9-F6376F5F0B32}">
            <xm:f>LEFT('Podnikatel (500)'!B50,LEN("RE"))="RE"</xm:f>
            <x14:dxf>
              <font>
                <color rgb="FF9C0006"/>
              </font>
              <fill>
                <patternFill>
                  <fgColor auto="1"/>
                  <bgColor theme="7" tint="0.79998168889431442"/>
                </patternFill>
              </fill>
            </x14:dxf>
          </x14:cfRule>
          <xm:sqref>B63</xm:sqref>
        </x14:conditionalFormatting>
        <x14:conditionalFormatting xmlns:xm="http://schemas.microsoft.com/office/excel/2006/main">
          <x14:cfRule type="beginsWith" priority="2" operator="beginsWith" text="RE" id="{3F6C8AF0-F60D-4543-BB09-9279914E6EFE}">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'typy žadatelů'!$D$3:$D$7</xm:f>
          </x14:formula1>
          <xm:sqref>E16:G16</xm:sqref>
        </x14:dataValidation>
        <x14:dataValidation type="list" allowBlank="1" showErrorMessage="1" promptTitle="Vyberte" xr:uid="{00000000-0002-0000-0300-000001000000}">
          <x14:formula1>
            <xm:f>'typy žadatelů'!$B$78:$B$80</xm:f>
          </x14:formula1>
          <xm:sqref>F30:F31 F35:F36</xm:sqref>
        </x14:dataValidation>
        <x14:dataValidation type="list" allowBlank="1" showInputMessage="1" showErrorMessage="1" xr:uid="{00000000-0002-0000-0300-000002000000}">
          <x14:formula1>
            <xm:f>'typy žadatelů'!$B$78:$B$80</xm:f>
          </x14:formula1>
          <xm:sqref>E13:G15 E17:G17</xm:sqref>
        </x14:dataValidation>
        <x14:dataValidation type="list" allowBlank="1" showInputMessage="1" showErrorMessage="1" xr:uid="{00000000-0002-0000-0300-000003000000}">
          <x14:formula1>
            <xm:f>Výpočty!$B$35:$B$37</xm:f>
          </x14:formula1>
          <xm:sqref>E18:G18</xm:sqref>
        </x14:dataValidation>
        <x14:dataValidation type="list" allowBlank="1" showInputMessage="1" showErrorMessage="1" xr:uid="{BD85AB77-93EB-4BE8-87CC-DF7C9DB6DD84}">
          <x14:formula1>
            <xm:f>Výpočty!$B$12:$B$16</xm:f>
          </x14:formula1>
          <xm:sqref>E8:G8</xm:sqref>
        </x14:dataValidation>
        <x14:dataValidation type="list" allowBlank="1" showInputMessage="1" showErrorMessage="1" xr:uid="{3B0FDC87-B72B-40F0-A9DA-85C8185F8C88}">
          <x14:formula1>
            <xm:f>Výpočty!$B$18:$B$20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65"/>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5.125" hidden="1" customWidth="1"/>
    <col min="10" max="11" width="0" hidden="1" customWidth="1"/>
  </cols>
  <sheetData>
    <row r="1" spans="1:11" ht="20.25" customHeight="1" x14ac:dyDescent="0.25"/>
    <row r="2" spans="1:11" ht="24.75" customHeight="1" x14ac:dyDescent="0.25">
      <c r="B2" s="84" t="s">
        <v>411</v>
      </c>
      <c r="D2" s="47"/>
      <c r="E2" s="5"/>
      <c r="F2" s="5"/>
      <c r="G2" s="13"/>
      <c r="H2" s="12"/>
    </row>
    <row r="3" spans="1:11" ht="31.5" customHeight="1" thickBot="1" x14ac:dyDescent="0.3">
      <c r="B3" s="85" t="s">
        <v>487</v>
      </c>
      <c r="D3" s="13"/>
      <c r="E3" s="5"/>
      <c r="F3" s="5"/>
      <c r="G3" s="13"/>
      <c r="H3" s="12"/>
    </row>
    <row r="4" spans="1:11" ht="24.75" customHeight="1" x14ac:dyDescent="0.25">
      <c r="A4" s="32" t="s">
        <v>74</v>
      </c>
      <c r="B4" s="448" t="s">
        <v>80</v>
      </c>
      <c r="C4" s="449"/>
      <c r="D4" s="449"/>
      <c r="E4" s="438"/>
      <c r="F4" s="438"/>
      <c r="G4" s="439"/>
      <c r="H4" s="48"/>
    </row>
    <row r="5" spans="1:11" ht="24.75" hidden="1" customHeight="1" x14ac:dyDescent="0.25">
      <c r="B5" s="137"/>
      <c r="C5" s="440" t="s">
        <v>0</v>
      </c>
      <c r="D5" s="440"/>
      <c r="E5" s="443" t="s">
        <v>357</v>
      </c>
      <c r="F5" s="443"/>
      <c r="G5" s="444"/>
      <c r="H5" s="86"/>
    </row>
    <row r="6" spans="1:11" ht="24.75" customHeight="1" x14ac:dyDescent="0.25">
      <c r="B6" s="451" t="s">
        <v>1</v>
      </c>
      <c r="C6" s="440"/>
      <c r="D6" s="440"/>
      <c r="E6" s="446"/>
      <c r="F6" s="446"/>
      <c r="G6" s="447"/>
      <c r="H6" s="86"/>
    </row>
    <row r="7" spans="1:11" ht="24.75" customHeight="1" x14ac:dyDescent="0.25">
      <c r="B7" s="451" t="s">
        <v>385</v>
      </c>
      <c r="C7" s="440"/>
      <c r="D7" s="440"/>
      <c r="E7" s="453"/>
      <c r="F7" s="453"/>
      <c r="G7" s="454"/>
      <c r="H7" s="87"/>
    </row>
    <row r="8" spans="1:11" ht="24.75" customHeight="1" x14ac:dyDescent="0.25">
      <c r="B8" s="451" t="str">
        <f>IF(E7="",Výpočty!B100,Výpočty!B103)</f>
        <v xml:space="preserve">Způsob podání daňového přiznání za účetní období: </v>
      </c>
      <c r="C8" s="440"/>
      <c r="D8" s="440"/>
      <c r="E8" s="522" t="s">
        <v>71</v>
      </c>
      <c r="F8" s="502"/>
      <c r="G8" s="503"/>
      <c r="H8" s="87"/>
    </row>
    <row r="9" spans="1:11" ht="24.75" customHeight="1" thickBot="1" x14ac:dyDescent="0.3">
      <c r="B9" s="488" t="str">
        <f>IF(E7="",Výpočty!B101,Výpočty!B104)</f>
        <v xml:space="preserve">Žadatel podal (tj. uzavřel) daňové přiznání za účetní období: </v>
      </c>
      <c r="C9" s="489"/>
      <c r="D9" s="489"/>
      <c r="E9" s="523" t="s">
        <v>71</v>
      </c>
      <c r="F9" s="504"/>
      <c r="G9" s="505"/>
      <c r="H9" s="87"/>
    </row>
    <row r="10" spans="1:11" ht="24.75" hidden="1" customHeight="1" x14ac:dyDescent="0.25">
      <c r="C10" s="528" t="s">
        <v>489</v>
      </c>
      <c r="D10" s="529"/>
      <c r="E10" s="457" t="str">
        <f>Výpočty!D96</f>
        <v/>
      </c>
      <c r="F10" s="457"/>
      <c r="G10" s="457"/>
      <c r="H10" s="88"/>
    </row>
    <row r="11" spans="1:11" ht="24.75" hidden="1" customHeight="1" thickBot="1" x14ac:dyDescent="0.3">
      <c r="C11" s="464" t="s">
        <v>393</v>
      </c>
      <c r="D11" s="465"/>
      <c r="E11" s="521" t="str">
        <f>IF(E10="","",I11)</f>
        <v/>
      </c>
      <c r="F11" s="521"/>
      <c r="G11" s="521"/>
      <c r="H11" s="88"/>
      <c r="I11" s="506" t="str">
        <f>IF(E9="Ano",E10,IF(E9="Vyberte variantu",E10,E10-1))</f>
        <v/>
      </c>
      <c r="J11" s="507"/>
      <c r="K11" s="508"/>
    </row>
    <row r="12" spans="1:11" ht="6.75" customHeight="1" thickBot="1" x14ac:dyDescent="0.3">
      <c r="B12" s="21"/>
      <c r="C12" s="13"/>
      <c r="D12" s="17"/>
      <c r="E12" s="5"/>
      <c r="F12" s="5"/>
      <c r="G12" s="13"/>
      <c r="H12" s="89"/>
    </row>
    <row r="13" spans="1:11" ht="38.25" customHeight="1" x14ac:dyDescent="0.25">
      <c r="B13" s="448" t="s">
        <v>358</v>
      </c>
      <c r="C13" s="449"/>
      <c r="D13" s="449"/>
      <c r="E13" s="438" t="s">
        <v>71</v>
      </c>
      <c r="F13" s="438"/>
      <c r="G13" s="439"/>
      <c r="H13" s="48"/>
    </row>
    <row r="14" spans="1:11" hidden="1" x14ac:dyDescent="0.25">
      <c r="B14" s="137"/>
      <c r="C14" s="487" t="s">
        <v>256</v>
      </c>
      <c r="D14" s="487"/>
      <c r="E14" s="443" t="s">
        <v>2</v>
      </c>
      <c r="F14" s="443"/>
      <c r="G14" s="444"/>
      <c r="H14" s="90"/>
    </row>
    <row r="15" spans="1:11" ht="45.75" customHeight="1" x14ac:dyDescent="0.25">
      <c r="B15" s="451" t="s">
        <v>343</v>
      </c>
      <c r="C15" s="440"/>
      <c r="D15" s="440"/>
      <c r="E15" s="443" t="s">
        <v>71</v>
      </c>
      <c r="F15" s="443"/>
      <c r="G15" s="444"/>
      <c r="H15" s="90"/>
    </row>
    <row r="16" spans="1:11" ht="24.75" hidden="1" customHeight="1" x14ac:dyDescent="0.25">
      <c r="B16" s="137"/>
      <c r="C16" s="440" t="s">
        <v>79</v>
      </c>
      <c r="D16" s="440"/>
      <c r="E16" s="443" t="s">
        <v>177</v>
      </c>
      <c r="F16" s="443"/>
      <c r="G16" s="444"/>
      <c r="H16" s="90"/>
    </row>
    <row r="17" spans="1:8" ht="24.75" hidden="1" customHeight="1" thickBot="1" x14ac:dyDescent="0.3">
      <c r="B17" s="137"/>
      <c r="C17" s="440" t="s">
        <v>248</v>
      </c>
      <c r="D17" s="440"/>
      <c r="E17" s="443" t="s">
        <v>71</v>
      </c>
      <c r="F17" s="443"/>
      <c r="G17" s="444"/>
      <c r="H17" s="90"/>
    </row>
    <row r="18" spans="1:8" ht="24.75" customHeight="1" thickBot="1" x14ac:dyDescent="0.3">
      <c r="B18" s="488" t="s">
        <v>345</v>
      </c>
      <c r="C18" s="489"/>
      <c r="D18" s="489"/>
      <c r="E18" s="460" t="s">
        <v>71</v>
      </c>
      <c r="F18" s="460"/>
      <c r="G18" s="461"/>
      <c r="H18" s="90"/>
    </row>
    <row r="19" spans="1:8" ht="31.5" customHeight="1" thickBot="1" x14ac:dyDescent="0.3">
      <c r="B19" s="21"/>
      <c r="C19" s="13"/>
      <c r="D19" s="13"/>
      <c r="E19" s="5"/>
      <c r="F19" s="5"/>
      <c r="G19" s="13"/>
      <c r="H19" s="90"/>
    </row>
    <row r="20" spans="1:8" ht="36" customHeight="1" thickBot="1" x14ac:dyDescent="0.3">
      <c r="A20" s="32" t="s">
        <v>75</v>
      </c>
      <c r="B20" s="498" t="s">
        <v>90</v>
      </c>
      <c r="C20" s="499"/>
      <c r="D20" s="500"/>
      <c r="E20" s="467" t="b">
        <f>IF(AND(E13="Ano",E14="Ano"),"kritéria C,D",IF(AND(E13="Ano",E14="Ne",E15="Ne"),"kritéria C,D",IF(AND(E13="Ano",E14="Ne",E15="Ano"),"kritéria B,C,D",IF(AND(E13="NE",E15="Ne"),"kritéria C,D,E",IF(AND(E13="NE",E15="Ano"),"kritéria B,C,D,E")))))</f>
        <v>0</v>
      </c>
      <c r="F20" s="468"/>
      <c r="G20" s="469" t="s">
        <v>414</v>
      </c>
      <c r="H20" s="517"/>
    </row>
    <row r="21" spans="1:8" ht="16.5" thickBot="1" x14ac:dyDescent="0.3">
      <c r="B21" s="21"/>
      <c r="C21" s="13"/>
      <c r="D21" s="13"/>
      <c r="E21" s="5"/>
      <c r="F21" s="5"/>
      <c r="G21" s="13"/>
      <c r="H21" s="12"/>
    </row>
    <row r="22" spans="1:8" ht="18" customHeight="1" x14ac:dyDescent="0.25">
      <c r="B22" s="484" t="s">
        <v>110</v>
      </c>
      <c r="C22" s="485"/>
      <c r="D22" s="430" t="s">
        <v>61</v>
      </c>
      <c r="E22" s="430" t="s">
        <v>64</v>
      </c>
      <c r="F22" s="28" t="str">
        <f>IF(OR(E20="kritéria B,C,D,E",E20="kritéria B,C,D"),"RELEVANTNÍ","NERELEVANTNÍ")</f>
        <v>NERELEVANTNÍ</v>
      </c>
      <c r="G22" s="13"/>
      <c r="H22" s="12"/>
    </row>
    <row r="23" spans="1:8" ht="18" customHeight="1" x14ac:dyDescent="0.25">
      <c r="B23" s="486"/>
      <c r="C23" s="487"/>
      <c r="D23" s="431"/>
      <c r="E23" s="431"/>
      <c r="F23" s="33" t="str">
        <f>"Rok N  "&amp; IF($E$11&gt;1,$E$11,"")</f>
        <v xml:space="preserve">Rok N  </v>
      </c>
      <c r="G23" s="13"/>
      <c r="H23" s="12"/>
    </row>
    <row r="24" spans="1:8" ht="27.75" customHeight="1" x14ac:dyDescent="0.25">
      <c r="B24" s="434" t="s">
        <v>65</v>
      </c>
      <c r="C24" s="435"/>
      <c r="D24" s="19" t="s">
        <v>91</v>
      </c>
      <c r="E24" s="20" t="s">
        <v>361</v>
      </c>
      <c r="F24" s="2"/>
      <c r="G24" s="13"/>
      <c r="H24" s="12"/>
    </row>
    <row r="25" spans="1:8" ht="51.75" customHeight="1" x14ac:dyDescent="0.25">
      <c r="B25" s="434" t="s">
        <v>174</v>
      </c>
      <c r="C25" s="435"/>
      <c r="D25" s="19" t="s">
        <v>92</v>
      </c>
      <c r="E25" s="20" t="s">
        <v>362</v>
      </c>
      <c r="F25" s="2"/>
      <c r="G25" s="13"/>
      <c r="H25" s="12"/>
    </row>
    <row r="26" spans="1:8" ht="27.75" customHeight="1" x14ac:dyDescent="0.25">
      <c r="B26" s="434" t="s">
        <v>12</v>
      </c>
      <c r="C26" s="435"/>
      <c r="D26" s="19" t="s">
        <v>92</v>
      </c>
      <c r="E26" s="20" t="s">
        <v>362</v>
      </c>
      <c r="F26" s="2"/>
      <c r="G26" s="13"/>
      <c r="H26" s="12"/>
    </row>
    <row r="27" spans="1:8" ht="24.75" customHeight="1" thickBot="1" x14ac:dyDescent="0.3">
      <c r="B27" s="475" t="s">
        <v>17</v>
      </c>
      <c r="C27" s="476"/>
      <c r="D27" s="476"/>
      <c r="E27" s="476"/>
      <c r="F27" s="25" t="str">
        <f>IF(AND((F25+F26)&gt;0,F24&gt;0),"Ne",(IF((ABS(F25+F26))&gt;((F24-(F25+F26))/2),"Ano","Ne")))</f>
        <v>Ne</v>
      </c>
      <c r="G27" s="13"/>
      <c r="H27" s="12"/>
    </row>
    <row r="28" spans="1:8" ht="16.5" thickBot="1" x14ac:dyDescent="0.3">
      <c r="B28" s="21"/>
      <c r="C28" s="12"/>
      <c r="D28" s="12"/>
      <c r="E28" s="9"/>
      <c r="F28" s="5"/>
      <c r="G28" s="13"/>
      <c r="H28" s="12"/>
    </row>
    <row r="29" spans="1:8" ht="36.75" customHeight="1" x14ac:dyDescent="0.25">
      <c r="B29" s="484" t="s">
        <v>102</v>
      </c>
      <c r="C29" s="485"/>
      <c r="D29" s="430" t="s">
        <v>61</v>
      </c>
      <c r="E29" s="430"/>
      <c r="F29" s="28" t="s">
        <v>46</v>
      </c>
      <c r="G29" s="13"/>
      <c r="H29" s="12"/>
    </row>
    <row r="30" spans="1:8" ht="27.75" customHeight="1" x14ac:dyDescent="0.25">
      <c r="B30" s="434" t="s">
        <v>18</v>
      </c>
      <c r="C30" s="435"/>
      <c r="D30" s="474" t="s">
        <v>63</v>
      </c>
      <c r="E30" s="474"/>
      <c r="F30" s="3" t="s">
        <v>71</v>
      </c>
    </row>
    <row r="31" spans="1:8" ht="27.75" customHeight="1" x14ac:dyDescent="0.25">
      <c r="B31" s="434" t="s">
        <v>175</v>
      </c>
      <c r="C31" s="435"/>
      <c r="D31" s="474" t="s">
        <v>69</v>
      </c>
      <c r="E31" s="474"/>
      <c r="F31" s="3" t="s">
        <v>71</v>
      </c>
    </row>
    <row r="32" spans="1:8" ht="24.75" customHeight="1" thickBot="1" x14ac:dyDescent="0.3">
      <c r="B32" s="475" t="s">
        <v>19</v>
      </c>
      <c r="C32" s="476"/>
      <c r="D32" s="476"/>
      <c r="E32" s="476"/>
      <c r="F32" s="25" t="str">
        <f>IF(OR(F30="Ano",F31="Ano"),"Ano","Ne")</f>
        <v>Ne</v>
      </c>
      <c r="G32" s="13"/>
      <c r="H32" s="12"/>
    </row>
    <row r="33" spans="2:9" ht="16.5" thickBot="1" x14ac:dyDescent="0.3">
      <c r="B33" s="21"/>
      <c r="C33" s="12"/>
      <c r="D33" s="12"/>
      <c r="E33" s="9"/>
      <c r="F33" s="5"/>
      <c r="G33" s="13"/>
      <c r="H33" s="12"/>
    </row>
    <row r="34" spans="2:9" ht="36" customHeight="1" x14ac:dyDescent="0.25">
      <c r="B34" s="484" t="s">
        <v>103</v>
      </c>
      <c r="C34" s="485"/>
      <c r="D34" s="430" t="s">
        <v>61</v>
      </c>
      <c r="E34" s="430"/>
      <c r="F34" s="28" t="s">
        <v>46</v>
      </c>
      <c r="G34" s="13"/>
      <c r="H34" s="12"/>
    </row>
    <row r="35" spans="2:9" ht="30" customHeight="1" x14ac:dyDescent="0.25">
      <c r="B35" s="434" t="s">
        <v>513</v>
      </c>
      <c r="C35" s="435"/>
      <c r="D35" s="474" t="s">
        <v>69</v>
      </c>
      <c r="E35" s="474"/>
      <c r="F35" s="3" t="s">
        <v>71</v>
      </c>
      <c r="G35" s="13"/>
      <c r="H35" s="12"/>
    </row>
    <row r="36" spans="2:9" ht="30" customHeight="1" x14ac:dyDescent="0.25">
      <c r="B36" s="434" t="s">
        <v>176</v>
      </c>
      <c r="C36" s="435"/>
      <c r="D36" s="474" t="s">
        <v>69</v>
      </c>
      <c r="E36" s="474"/>
      <c r="F36" s="3" t="s">
        <v>71</v>
      </c>
      <c r="G36" s="13"/>
      <c r="H36" s="12"/>
    </row>
    <row r="37" spans="2:9" ht="24.75" customHeight="1" thickBot="1" x14ac:dyDescent="0.3">
      <c r="B37" s="475" t="s">
        <v>20</v>
      </c>
      <c r="C37" s="476"/>
      <c r="D37" s="476"/>
      <c r="E37" s="476"/>
      <c r="F37" s="25" t="str">
        <f>IF(OR(F35="Ano",F36="Ano"),"Ano","Ne")</f>
        <v>Ne</v>
      </c>
      <c r="G37" s="13"/>
      <c r="H37" s="12"/>
    </row>
    <row r="38" spans="2:9" ht="16.5" thickBot="1" x14ac:dyDescent="0.3">
      <c r="B38" s="21"/>
      <c r="C38" s="12"/>
      <c r="D38" s="12"/>
      <c r="E38" s="9"/>
      <c r="F38" s="5"/>
      <c r="G38" s="13"/>
      <c r="H38" s="12"/>
    </row>
    <row r="39" spans="2:9" ht="36.75" customHeight="1" thickBot="1" x14ac:dyDescent="0.3">
      <c r="B39" s="514" t="s">
        <v>104</v>
      </c>
      <c r="C39" s="515"/>
      <c r="D39" s="515"/>
      <c r="E39" s="515"/>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84" t="s">
        <v>105</v>
      </c>
      <c r="C41" s="485"/>
      <c r="D41" s="430" t="s">
        <v>61</v>
      </c>
      <c r="E41" s="432" t="s">
        <v>98</v>
      </c>
      <c r="F41" s="130" t="s">
        <v>404</v>
      </c>
      <c r="G41" s="131" t="s">
        <v>407</v>
      </c>
      <c r="H41" s="8"/>
    </row>
    <row r="42" spans="2:9" ht="18.75" customHeight="1" x14ac:dyDescent="0.25">
      <c r="B42" s="486"/>
      <c r="C42" s="487"/>
      <c r="D42" s="431"/>
      <c r="E42" s="433"/>
      <c r="F42" s="132" t="str">
        <f>IF($E$11&gt;1,$E$11,"")</f>
        <v/>
      </c>
      <c r="G42" s="298" t="str">
        <f>IF(I42="","",I42-1)</f>
        <v/>
      </c>
      <c r="H42" s="8"/>
      <c r="I42" s="133" t="str">
        <f>IF($E$11&gt;1,$E$11,"")</f>
        <v/>
      </c>
    </row>
    <row r="43" spans="2:9" ht="27.75" customHeight="1" x14ac:dyDescent="0.25">
      <c r="B43" s="434" t="s">
        <v>15</v>
      </c>
      <c r="C43" s="435"/>
      <c r="D43" s="19" t="s">
        <v>91</v>
      </c>
      <c r="E43" s="20" t="s">
        <v>361</v>
      </c>
      <c r="F43" s="1"/>
      <c r="G43" s="2"/>
      <c r="H43" s="8"/>
    </row>
    <row r="44" spans="2:9" ht="27.75" customHeight="1" x14ac:dyDescent="0.25">
      <c r="B44" s="434" t="s">
        <v>99</v>
      </c>
      <c r="C44" s="435"/>
      <c r="D44" s="19" t="s">
        <v>91</v>
      </c>
      <c r="E44" s="20" t="s">
        <v>363</v>
      </c>
      <c r="F44" s="1"/>
      <c r="G44" s="2"/>
      <c r="H44" s="8"/>
    </row>
    <row r="45" spans="2:9" ht="27.75" customHeight="1" x14ac:dyDescent="0.25">
      <c r="B45" s="434" t="s">
        <v>88</v>
      </c>
      <c r="C45" s="435"/>
      <c r="D45" s="435"/>
      <c r="E45" s="435"/>
      <c r="F45" s="6" t="str">
        <f>IF((F43)=0,"NR",(F44/F43))</f>
        <v>NR</v>
      </c>
      <c r="G45" s="7" t="str">
        <f>IF((G43)=0,"NR",(G44/G43))</f>
        <v>NR</v>
      </c>
      <c r="H45" s="8"/>
    </row>
    <row r="46" spans="2:9" ht="25.5" customHeight="1" thickBot="1" x14ac:dyDescent="0.3">
      <c r="B46" s="475" t="s">
        <v>22</v>
      </c>
      <c r="C46" s="476"/>
      <c r="D46" s="476"/>
      <c r="E46" s="476"/>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84" t="s">
        <v>106</v>
      </c>
      <c r="C48" s="485"/>
      <c r="D48" s="430" t="s">
        <v>61</v>
      </c>
      <c r="E48" s="432" t="s">
        <v>98</v>
      </c>
      <c r="F48" s="139" t="s">
        <v>404</v>
      </c>
      <c r="G48" s="131" t="s">
        <v>407</v>
      </c>
      <c r="H48" s="8"/>
    </row>
    <row r="49" spans="2:8" ht="18.75" customHeight="1" x14ac:dyDescent="0.25">
      <c r="B49" s="486"/>
      <c r="C49" s="487"/>
      <c r="D49" s="431"/>
      <c r="E49" s="433"/>
      <c r="F49" s="138" t="str">
        <f>F42</f>
        <v/>
      </c>
      <c r="G49" s="133" t="str">
        <f>G42</f>
        <v/>
      </c>
      <c r="H49" s="8"/>
    </row>
    <row r="50" spans="2:8" ht="27.75" customHeight="1" x14ac:dyDescent="0.25">
      <c r="B50" s="434" t="s">
        <v>23</v>
      </c>
      <c r="C50" s="435"/>
      <c r="D50" s="19"/>
      <c r="E50" s="20"/>
      <c r="F50" s="1"/>
      <c r="G50" s="2"/>
      <c r="H50" s="8"/>
    </row>
    <row r="51" spans="2:8" ht="27.75" customHeight="1" x14ac:dyDescent="0.25">
      <c r="B51" s="434" t="s">
        <v>25</v>
      </c>
      <c r="C51" s="435"/>
      <c r="D51" s="516" t="s">
        <v>109</v>
      </c>
      <c r="E51" s="516"/>
      <c r="F51" s="1"/>
      <c r="G51" s="2"/>
      <c r="H51" s="8"/>
    </row>
    <row r="52" spans="2:8" ht="27.75" customHeight="1" x14ac:dyDescent="0.25">
      <c r="B52" s="434" t="s">
        <v>27</v>
      </c>
      <c r="C52" s="435"/>
      <c r="D52" s="19" t="s">
        <v>92</v>
      </c>
      <c r="E52" s="20" t="s">
        <v>362</v>
      </c>
      <c r="F52" s="1"/>
      <c r="G52" s="2"/>
      <c r="H52" s="8"/>
    </row>
    <row r="53" spans="2:8" ht="27.75" customHeight="1" x14ac:dyDescent="0.25">
      <c r="B53" s="434" t="s">
        <v>89</v>
      </c>
      <c r="C53" s="435"/>
      <c r="D53" s="435"/>
      <c r="E53" s="435"/>
      <c r="F53" s="6" t="str">
        <f>IF(F51=0,"NR",(F50+F51+F52)/F51)</f>
        <v>NR</v>
      </c>
      <c r="G53" s="7" t="str">
        <f>IF(G51=0,"NR",(G50+G51+G52)/G51)</f>
        <v>NR</v>
      </c>
      <c r="H53" s="8"/>
    </row>
    <row r="54" spans="2:8" ht="24.75" customHeight="1" thickBot="1" x14ac:dyDescent="0.3">
      <c r="B54" s="475" t="s">
        <v>107</v>
      </c>
      <c r="C54" s="476"/>
      <c r="D54" s="476"/>
      <c r="E54" s="476"/>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495" t="s">
        <v>29</v>
      </c>
      <c r="C56" s="496"/>
      <c r="D56" s="496"/>
      <c r="E56" s="497"/>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492" t="s">
        <v>108</v>
      </c>
      <c r="C58" s="493"/>
      <c r="D58" s="493"/>
      <c r="E58" s="494"/>
      <c r="F58" s="16" t="str">
        <f>IF(OR(F27="Ano",F32="Ano",F37="Ano",F56="Ano"),"Ano","Ne")</f>
        <v>Ne</v>
      </c>
      <c r="G58" s="299" t="s">
        <v>412</v>
      </c>
      <c r="H58" s="91"/>
    </row>
    <row r="60" spans="2:8" x14ac:dyDescent="0.25">
      <c r="B60" s="366" t="str">
        <f>IF(F58="Ano","Výsledek testu je pozitivní (žadatel je podnikem v obtížích). Nepokračujte v testu dále, žadateli nelze poskytnout podporu!","")</f>
        <v/>
      </c>
    </row>
    <row r="61" spans="2:8" ht="4.5" customHeight="1" x14ac:dyDescent="0.25"/>
    <row r="62" spans="2:8" x14ac:dyDescent="0.25">
      <c r="B62" s="134" t="str">
        <f>IF(F58="Ano","","Krok 5: Kliknutím na níže uvedené pole dojde k přesměrování na list Skupina podniků")</f>
        <v>Krok 5: Kliknutím na níže uvedené pole dojde k přesměrování na list Skupina podniků</v>
      </c>
    </row>
    <row r="63" spans="2:8" ht="7.5" customHeight="1" x14ac:dyDescent="0.25"/>
    <row r="64" spans="2:8" x14ac:dyDescent="0.25">
      <c r="B64" s="429" t="s">
        <v>413</v>
      </c>
    </row>
    <row r="65" spans="2:2" x14ac:dyDescent="0.25">
      <c r="B65" s="429"/>
    </row>
  </sheetData>
  <sheetProtection algorithmName="SHA-512" hashValue="7E5MJJobNZJukSJMQxpLlxcvTd7tCGXt/bNay6aVTtdYW9hNwP+s6vtfBNMJWP10S3o6hOxjvQoJyeWowE18Rg==" saltValue="aPA4CDd5sDlJqKRUhI1V8w==" spinCount="100000" sheet="1" selectLockedCells="1"/>
  <mergeCells count="73">
    <mergeCell ref="B64:B65"/>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B8:D8"/>
    <mergeCell ref="B9:D9"/>
    <mergeCell ref="E8:G8"/>
    <mergeCell ref="E9:G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288" priority="26" operator="beginsWith" text="RE">
      <formula>LEFT(A1,LEN("RE"))="RE"</formula>
    </cfRule>
    <cfRule type="containsText" dxfId="287" priority="27" operator="containsText" text="&quot;RELEVANTNÍ&quot;">
      <formula>NOT(ISERROR(SEARCH("""RELEVANTNÍ""",A1)))</formula>
    </cfRule>
  </conditionalFormatting>
  <conditionalFormatting sqref="B33">
    <cfRule type="beginsWith" dxfId="286" priority="42" operator="beginsWith" text="RE">
      <formula>LEFT(B33,LEN("RE"))="RE"</formula>
    </cfRule>
    <cfRule type="containsText" dxfId="285" priority="43" operator="containsText" text="&quot;RELEVANTNÍ&quot;">
      <formula>NOT(ISERROR(SEARCH("""RELEVANTNÍ""",B33)))</formula>
    </cfRule>
  </conditionalFormatting>
  <conditionalFormatting sqref="B38 B40 B47 B55 B57 B59:B61">
    <cfRule type="beginsWith" dxfId="284" priority="16" operator="beginsWith" text="RE">
      <formula>LEFT(B38,LEN("RE"))="RE"</formula>
    </cfRule>
    <cfRule type="containsText" dxfId="283" priority="17" operator="containsText" text="&quot;RELEVANTNÍ&quot;">
      <formula>NOT(ISERROR(SEARCH("""RELEVANTNÍ""",B38)))</formula>
    </cfRule>
  </conditionalFormatting>
  <conditionalFormatting sqref="F23 F32:G41 F42 I42:I45">
    <cfRule type="beginsWith" dxfId="281" priority="6" operator="beginsWith" text="RE">
      <formula>LEFT(F23,LEN("RE"))="RE"</formula>
    </cfRule>
  </conditionalFormatting>
  <conditionalFormatting sqref="F24:F26">
    <cfRule type="expression" dxfId="280" priority="24">
      <formula>$F$22="NERELEVANTNÍ"</formula>
    </cfRule>
  </conditionalFormatting>
  <conditionalFormatting sqref="F25:F26">
    <cfRule type="beginsWith" dxfId="279" priority="25" operator="beginsWith" text="RE">
      <formula>LEFT(F25,LEN("RE"))="RE"</formula>
    </cfRule>
  </conditionalFormatting>
  <conditionalFormatting sqref="F27 F32 F37 F56">
    <cfRule type="containsText" dxfId="278" priority="45" operator="containsText" text="Ano">
      <formula>NOT(ISERROR(SEARCH("Ano",F27)))</formula>
    </cfRule>
  </conditionalFormatting>
  <conditionalFormatting sqref="F27 F56 F32 F37">
    <cfRule type="containsText" dxfId="277" priority="44" operator="containsText" text="Ne">
      <formula>NOT(ISERROR(SEARCH("Ne",F27)))</formula>
    </cfRule>
  </conditionalFormatting>
  <conditionalFormatting sqref="F30:F31">
    <cfRule type="beginsWith" dxfId="276" priority="9" operator="beginsWith" text="RE">
      <formula>LEFT(F30,LEN("RE"))="RE"</formula>
    </cfRule>
  </conditionalFormatting>
  <conditionalFormatting sqref="F58">
    <cfRule type="beginsWith" dxfId="275" priority="12" operator="beginsWith" text="RE">
      <formula>LEFT(F58,LEN("RE"))="RE"</formula>
    </cfRule>
    <cfRule type="containsText" dxfId="274" priority="13" operator="containsText" text="Ne">
      <formula>NOT(ISERROR(SEARCH("Ne",F58)))</formula>
    </cfRule>
    <cfRule type="containsText" dxfId="273" priority="14" operator="containsText" text="Ano">
      <formula>NOT(ISERROR(SEARCH("Ano",F58)))</formula>
    </cfRule>
  </conditionalFormatting>
  <conditionalFormatting sqref="F1:G7 F10:G10 F12:G17">
    <cfRule type="beginsWith" dxfId="272" priority="28" operator="beginsWith" text="RE">
      <formula>LEFT(F1,LEN("RE"))="RE"</formula>
    </cfRule>
  </conditionalFormatting>
  <conditionalFormatting sqref="F19:G19 F20 F21:G22 G23:G26 F27:G29 F59:G62">
    <cfRule type="beginsWith" dxfId="271" priority="41" operator="beginsWith" text="RE">
      <formula>LEFT(F19,LEN("RE"))="RE"</formula>
    </cfRule>
  </conditionalFormatting>
  <conditionalFormatting sqref="F43:G44">
    <cfRule type="expression" dxfId="270" priority="20">
      <formula>$F$39="NERELEVANTNÍ"</formula>
    </cfRule>
  </conditionalFormatting>
  <conditionalFormatting sqref="F44:G44">
    <cfRule type="beginsWith" dxfId="269" priority="21" operator="beginsWith" text="RE">
      <formula>LEFT(F44,LEN("RE"))="RE"</formula>
    </cfRule>
  </conditionalFormatting>
  <conditionalFormatting sqref="F45:G49">
    <cfRule type="beginsWith" dxfId="268" priority="4" operator="beginsWith" text="RE">
      <formula>LEFT(F45,LEN("RE"))="RE"</formula>
    </cfRule>
  </conditionalFormatting>
  <conditionalFormatting sqref="F50:G52">
    <cfRule type="expression" dxfId="267" priority="18">
      <formula>$F$39="NERELEVANTNÍ"</formula>
    </cfRule>
  </conditionalFormatting>
  <conditionalFormatting sqref="F51:G51">
    <cfRule type="beginsWith" dxfId="266" priority="19" operator="beginsWith" text="RE">
      <formula>LEFT(F51,LEN("RE"))="RE"</formula>
    </cfRule>
  </conditionalFormatting>
  <conditionalFormatting sqref="F53:G57">
    <cfRule type="beginsWith" dxfId="265" priority="29" operator="beginsWith" text="RE">
      <formula>LEFT(F53,LEN("RE"))="RE"</formula>
    </cfRule>
  </conditionalFormatting>
  <conditionalFormatting sqref="I50:I52">
    <cfRule type="beginsWith" dxfId="263" priority="37" operator="beginsWith" text="RE">
      <formula>LEFT(I50,LEN("RE"))="RE"</formula>
    </cfRule>
  </conditionalFormatting>
  <hyperlinks>
    <hyperlink ref="B64:B65" location="'3. Skupina podniků'!A1" display="SKUPINA PODNIKŮ" xr:uid="{15CE7ECF-3818-4710-918A-2DA26012885A}"/>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CC56695B-6295-44AD-86DF-0C0AB5CC5B32}">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937D4D16-CD32-48F0-94A2-FD8E4127A1E7}">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'typy žadatelů'!$D$3:$D$7</xm:f>
          </x14:formula1>
          <xm:sqref>E16:G16</xm:sqref>
        </x14:dataValidation>
        <x14:dataValidation type="list" allowBlank="1" showErrorMessage="1" promptTitle="Vyberte" xr:uid="{00000000-0002-0000-0400-000001000000}">
          <x14:formula1>
            <xm:f>'typy žadatelů'!$B$78:$B$80</xm:f>
          </x14:formula1>
          <xm:sqref>F30:F31 F35:F36</xm:sqref>
        </x14:dataValidation>
        <x14:dataValidation type="list" allowBlank="1" showInputMessage="1" showErrorMessage="1" xr:uid="{00000000-0002-0000-0400-000002000000}">
          <x14:formula1>
            <xm:f>'typy žadatelů'!$B$78:$B$80</xm:f>
          </x14:formula1>
          <xm:sqref>E13:G15 E17:G17</xm:sqref>
        </x14:dataValidation>
        <x14:dataValidation type="list" allowBlank="1" showInputMessage="1" showErrorMessage="1" xr:uid="{00000000-0002-0000-0400-000003000000}">
          <x14:formula1>
            <xm:f>Výpočty!$B$35:$B$37</xm:f>
          </x14:formula1>
          <xm:sqref>E18:G18</xm:sqref>
        </x14:dataValidation>
        <x14:dataValidation type="list" allowBlank="1" showInputMessage="1" showErrorMessage="1" xr:uid="{A358FE91-3C3B-4EDA-A04B-5EF92CF054DA}">
          <x14:formula1>
            <xm:f>Výpočty!$B$12:$B$16</xm:f>
          </x14:formula1>
          <xm:sqref>E8:G8</xm:sqref>
        </x14:dataValidation>
        <x14:dataValidation type="list" allowBlank="1" showInputMessage="1" showErrorMessage="1" xr:uid="{0FA3096F-495F-44B1-8649-27826D37580B}">
          <x14:formula1>
            <xm:f>Výpočty!$B$18:$B$20</xm:f>
          </x14:formula1>
          <xm:sqref>E9:G9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K61"/>
  <sheetViews>
    <sheetView showGridLines="0" topLeftCell="A25" zoomScale="109" zoomScaleNormal="131" workbookViewId="0">
      <selection activeCell="G49" sqref="G49"/>
    </sheetView>
  </sheetViews>
  <sheetFormatPr defaultColWidth="11" defaultRowHeight="14.25" x14ac:dyDescent="0.25"/>
  <cols>
    <col min="1" max="1" width="5.75" style="5" customWidth="1"/>
    <col min="2" max="2" width="62.75" style="13" customWidth="1"/>
    <col min="3" max="3" width="9.625" style="17" customWidth="1"/>
    <col min="4" max="4" width="9.625" style="5" customWidth="1"/>
    <col min="5" max="5" width="17" style="5" customWidth="1"/>
    <col min="6" max="6" width="15.5" style="13" customWidth="1"/>
    <col min="7" max="7" width="23.75" style="12" customWidth="1"/>
    <col min="8" max="11" width="11" style="9"/>
    <col min="12" max="16384" width="11" style="5"/>
  </cols>
  <sheetData>
    <row r="2" spans="1:7" ht="18" x14ac:dyDescent="0.25">
      <c r="B2" s="35" t="s">
        <v>272</v>
      </c>
      <c r="C2" s="36"/>
    </row>
    <row r="3" spans="1:7" ht="11.65" customHeight="1" thickBot="1" x14ac:dyDescent="0.3"/>
    <row r="4" spans="1:7" ht="21" customHeight="1" x14ac:dyDescent="0.25">
      <c r="A4" s="32" t="s">
        <v>74</v>
      </c>
      <c r="B4" s="448" t="s">
        <v>80</v>
      </c>
      <c r="C4" s="449"/>
      <c r="D4" s="530">
        <f>'2. Účetnictví'!E4</f>
        <v>0</v>
      </c>
      <c r="E4" s="530"/>
      <c r="F4" s="531"/>
      <c r="G4" s="48" t="s">
        <v>252</v>
      </c>
    </row>
    <row r="5" spans="1:7" ht="21" hidden="1" customHeight="1" x14ac:dyDescent="0.25">
      <c r="A5" s="21"/>
      <c r="B5" s="451" t="s">
        <v>0</v>
      </c>
      <c r="C5" s="440"/>
      <c r="D5" s="532"/>
      <c r="E5" s="532"/>
      <c r="F5" s="533"/>
      <c r="G5" s="15"/>
    </row>
    <row r="6" spans="1:7" ht="21" customHeight="1" x14ac:dyDescent="0.25">
      <c r="A6" s="21"/>
      <c r="B6" s="451" t="s">
        <v>1</v>
      </c>
      <c r="C6" s="440"/>
      <c r="D6" s="534">
        <f>'2. Účetnictví'!E6</f>
        <v>0</v>
      </c>
      <c r="E6" s="532"/>
      <c r="F6" s="533"/>
      <c r="G6" s="15"/>
    </row>
    <row r="7" spans="1:7" ht="19.149999999999999" customHeight="1" x14ac:dyDescent="0.25">
      <c r="A7" s="21"/>
      <c r="B7" s="451" t="s">
        <v>246</v>
      </c>
      <c r="C7" s="440"/>
      <c r="D7" s="535">
        <f>'2. Účetnictví'!E8</f>
        <v>42222</v>
      </c>
      <c r="E7" s="535"/>
      <c r="F7" s="536"/>
      <c r="G7" s="34"/>
    </row>
    <row r="8" spans="1:7" ht="21" customHeight="1" thickBot="1" x14ac:dyDescent="0.3">
      <c r="A8" s="21"/>
      <c r="B8" s="488" t="s">
        <v>275</v>
      </c>
      <c r="C8" s="489"/>
      <c r="D8" s="537" t="str">
        <f>'2. Účetnictví'!E11</f>
        <v/>
      </c>
      <c r="E8" s="537"/>
      <c r="F8" s="538"/>
    </row>
    <row r="9" spans="1:7" ht="10.15" customHeight="1" thickBot="1" x14ac:dyDescent="0.3">
      <c r="A9" s="21"/>
    </row>
    <row r="10" spans="1:7" ht="21" customHeight="1" x14ac:dyDescent="0.25">
      <c r="A10" s="21"/>
      <c r="B10" s="448" t="s">
        <v>262</v>
      </c>
      <c r="C10" s="449"/>
      <c r="D10" s="539" t="str">
        <f>'2. Účetnictví'!E16</f>
        <v>Vyberte variantu</v>
      </c>
      <c r="E10" s="539"/>
      <c r="F10" s="540"/>
      <c r="G10" s="48" t="s">
        <v>251</v>
      </c>
    </row>
    <row r="11" spans="1:7" s="9" customFormat="1" ht="21" customHeight="1" x14ac:dyDescent="0.25">
      <c r="A11" s="21"/>
      <c r="B11" s="486" t="s">
        <v>256</v>
      </c>
      <c r="C11" s="487"/>
      <c r="D11" s="466" t="str">
        <f>'2. Účetnictví'!E17</f>
        <v>Vyberte variantu</v>
      </c>
      <c r="E11" s="466"/>
      <c r="F11" s="541"/>
      <c r="G11" s="12"/>
    </row>
    <row r="12" spans="1:7" s="9" customFormat="1" ht="21" customHeight="1" x14ac:dyDescent="0.25">
      <c r="A12" s="21"/>
      <c r="B12" s="451" t="s">
        <v>263</v>
      </c>
      <c r="C12" s="440"/>
      <c r="D12" s="466" t="str">
        <f>'2. Účetnictví'!E18</f>
        <v>Vyberte variantu</v>
      </c>
      <c r="E12" s="466"/>
      <c r="F12" s="541"/>
      <c r="G12" s="12"/>
    </row>
    <row r="13" spans="1:7" s="9" customFormat="1" ht="33.6" customHeight="1" thickBot="1" x14ac:dyDescent="0.3">
      <c r="A13" s="21"/>
      <c r="B13" s="488" t="s">
        <v>236</v>
      </c>
      <c r="C13" s="489"/>
      <c r="D13" s="542" t="str">
        <f>Výpočty!D46</f>
        <v/>
      </c>
      <c r="E13" s="542"/>
      <c r="F13" s="543"/>
      <c r="G13" s="12"/>
    </row>
    <row r="14" spans="1:7" s="9" customFormat="1" ht="21" hidden="1" customHeight="1" x14ac:dyDescent="0.25">
      <c r="A14" s="21"/>
      <c r="B14" s="455" t="s">
        <v>79</v>
      </c>
      <c r="C14" s="456"/>
      <c r="D14" s="68"/>
      <c r="E14" s="68"/>
      <c r="F14" s="69"/>
      <c r="G14" s="12"/>
    </row>
    <row r="15" spans="1:7" s="9" customFormat="1" ht="21" hidden="1" customHeight="1" thickBot="1" x14ac:dyDescent="0.3">
      <c r="A15" s="21"/>
      <c r="B15" s="488" t="s">
        <v>248</v>
      </c>
      <c r="C15" s="489"/>
      <c r="D15" s="542"/>
      <c r="E15" s="542"/>
      <c r="F15" s="543"/>
      <c r="G15" s="12"/>
    </row>
    <row r="17" spans="1:7" ht="15" thickBot="1" x14ac:dyDescent="0.3"/>
    <row r="18" spans="1:7" s="9" customFormat="1" ht="20.25" customHeight="1"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c r="F18" s="48" t="s">
        <v>254</v>
      </c>
      <c r="G18"/>
    </row>
    <row r="19" spans="1:7" s="9" customFormat="1" ht="7.9" customHeight="1" thickBot="1" x14ac:dyDescent="0.3">
      <c r="A19" s="32"/>
      <c r="B19" s="12"/>
      <c r="C19" s="12"/>
      <c r="D19" s="12"/>
      <c r="E19" s="12"/>
      <c r="F19" s="12"/>
      <c r="G19" s="12"/>
    </row>
    <row r="20" spans="1:7" s="9" customFormat="1" ht="20.25" customHeight="1" x14ac:dyDescent="0.25">
      <c r="A20" s="32"/>
      <c r="B20" s="448" t="s">
        <v>397</v>
      </c>
      <c r="C20" s="472" t="s">
        <v>61</v>
      </c>
      <c r="D20" s="547" t="s">
        <v>64</v>
      </c>
      <c r="E20" s="28" t="str">
        <f>IF(OR(D18="kritéria A,C,D,E",D18="kritéria A,C,D"),"RELEVANTNÍ","NERELEVANTNÍ")</f>
        <v>NERELEVANTNÍ</v>
      </c>
      <c r="F20" s="12"/>
      <c r="G20" s="12"/>
    </row>
    <row r="21" spans="1:7" s="9" customFormat="1" ht="20.25" customHeight="1" x14ac:dyDescent="0.25">
      <c r="A21" s="32"/>
      <c r="B21" s="451"/>
      <c r="C21" s="473"/>
      <c r="D21" s="548"/>
      <c r="E21" s="33" t="str">
        <f>IF($D$8&gt;1,$D$8,"")</f>
        <v/>
      </c>
      <c r="F21" s="12"/>
      <c r="G21" s="12"/>
    </row>
    <row r="22" spans="1:7" s="9" customFormat="1" ht="20.25" customHeight="1" x14ac:dyDescent="0.25">
      <c r="A22" s="32"/>
      <c r="B22" s="29" t="s">
        <v>15</v>
      </c>
      <c r="C22" s="30" t="s">
        <v>293</v>
      </c>
      <c r="D22" s="37" t="s">
        <v>37</v>
      </c>
      <c r="E22" s="50">
        <f>'2. Účetnictví'!F28</f>
        <v>0</v>
      </c>
      <c r="F22" s="12"/>
      <c r="G22" s="12"/>
    </row>
    <row r="23" spans="1:7" s="9" customFormat="1" ht="20.25" customHeight="1" x14ac:dyDescent="0.25">
      <c r="A23" s="32"/>
      <c r="B23" s="29" t="s">
        <v>30</v>
      </c>
      <c r="C23" s="30" t="s">
        <v>293</v>
      </c>
      <c r="D23" s="31" t="s">
        <v>239</v>
      </c>
      <c r="E23" s="50">
        <f>'2. Účetnictví'!F29</f>
        <v>0</v>
      </c>
      <c r="F23" s="544" t="s">
        <v>240</v>
      </c>
      <c r="G23" s="545"/>
    </row>
    <row r="24" spans="1:7" s="9" customFormat="1" ht="20.25" customHeight="1" x14ac:dyDescent="0.25">
      <c r="A24" s="32"/>
      <c r="B24" s="29" t="s">
        <v>72</v>
      </c>
      <c r="C24" s="30" t="s">
        <v>293</v>
      </c>
      <c r="D24" s="31" t="s">
        <v>239</v>
      </c>
      <c r="E24" s="50">
        <f>'2. Účetnictví'!F30</f>
        <v>0</v>
      </c>
      <c r="F24" s="544"/>
      <c r="G24" s="545"/>
    </row>
    <row r="25" spans="1:7" s="9" customFormat="1" ht="20.25" customHeight="1" thickBot="1" x14ac:dyDescent="0.3">
      <c r="A25" s="32"/>
      <c r="B25" s="549" t="s">
        <v>14</v>
      </c>
      <c r="C25" s="550"/>
      <c r="D25" s="551"/>
      <c r="E25" s="25" t="str">
        <f>IF((E22)&lt;0,"Ano",IF(E22&lt;((E23+E24)/2),"Ano","Ne"))</f>
        <v>Ne</v>
      </c>
      <c r="F25" s="12"/>
      <c r="G25" s="12"/>
    </row>
    <row r="26" spans="1:7" ht="8.25" customHeight="1" thickBot="1" x14ac:dyDescent="0.3">
      <c r="D26" s="21"/>
      <c r="E26" s="21"/>
      <c r="G26" s="8"/>
    </row>
    <row r="27" spans="1:7" s="9" customFormat="1" ht="20.25" customHeight="1" x14ac:dyDescent="0.25">
      <c r="A27" s="5"/>
      <c r="B27" s="552" t="s">
        <v>317</v>
      </c>
      <c r="C27" s="547" t="s">
        <v>61</v>
      </c>
      <c r="D27" s="547" t="s">
        <v>64</v>
      </c>
      <c r="E27" s="28" t="str">
        <f>IF(OR(D18="kritéria B,C,D",D18="kritéria B,C,D,E"),"RELEVANTNÍ","NERELEVANTNÍ")</f>
        <v>NERELEVANTNÍ</v>
      </c>
      <c r="F27" s="13"/>
      <c r="G27" s="8"/>
    </row>
    <row r="28" spans="1:7" s="9" customFormat="1" ht="20.25" customHeight="1" x14ac:dyDescent="0.25">
      <c r="A28" s="5"/>
      <c r="B28" s="553"/>
      <c r="C28" s="548"/>
      <c r="D28" s="548"/>
      <c r="E28" s="33" t="str">
        <f>IF($D$8&gt;1,$D$8,"")</f>
        <v/>
      </c>
      <c r="F28" s="13"/>
      <c r="G28" s="8"/>
    </row>
    <row r="29" spans="1:7" s="9" customFormat="1" ht="17.25" customHeight="1" x14ac:dyDescent="0.25">
      <c r="A29" s="5"/>
      <c r="B29" s="29" t="s">
        <v>65</v>
      </c>
      <c r="C29" s="30" t="s">
        <v>293</v>
      </c>
      <c r="D29" s="20" t="s">
        <v>37</v>
      </c>
      <c r="E29" s="52">
        <f>'2. Účetnictví'!F35</f>
        <v>0</v>
      </c>
      <c r="F29" s="13"/>
      <c r="G29" s="8"/>
    </row>
    <row r="30" spans="1:7" s="9" customFormat="1" ht="17.25" customHeight="1" x14ac:dyDescent="0.25">
      <c r="A30" s="5"/>
      <c r="B30" s="29" t="s">
        <v>16</v>
      </c>
      <c r="C30" s="30" t="s">
        <v>293</v>
      </c>
      <c r="D30" s="20" t="s">
        <v>41</v>
      </c>
      <c r="E30" s="52">
        <f>'2. Účetnictví'!F36</f>
        <v>0</v>
      </c>
      <c r="F30" s="13"/>
      <c r="G30" s="8"/>
    </row>
    <row r="31" spans="1:7" s="9" customFormat="1" ht="17.25" customHeight="1" x14ac:dyDescent="0.25">
      <c r="A31" s="5"/>
      <c r="B31" s="38" t="s">
        <v>315</v>
      </c>
      <c r="C31" s="39" t="s">
        <v>229</v>
      </c>
      <c r="D31" s="40" t="s">
        <v>229</v>
      </c>
      <c r="E31" s="53">
        <f>'2. Účetnictví'!F37</f>
        <v>0</v>
      </c>
      <c r="F31" s="13"/>
      <c r="G31" s="8"/>
    </row>
    <row r="32" spans="1:7" s="9" customFormat="1" ht="17.25" customHeight="1" thickBot="1" x14ac:dyDescent="0.3">
      <c r="A32" s="5"/>
      <c r="B32" s="477" t="s">
        <v>17</v>
      </c>
      <c r="C32" s="478"/>
      <c r="D32" s="478"/>
      <c r="E32" s="25" t="str">
        <f>IF(AND((E30)&gt;0,E29&gt;0),"Ne",(IF((ABS(E30))&gt;((E29-(E30))/2),"Ano","Ne")))</f>
        <v>Ne</v>
      </c>
      <c r="F32" s="13"/>
      <c r="G32" s="8"/>
    </row>
    <row r="34" spans="2:7" s="9" customFormat="1" ht="20.25" customHeight="1" x14ac:dyDescent="0.25">
      <c r="B34" s="27" t="s">
        <v>102</v>
      </c>
      <c r="C34" s="430" t="s">
        <v>61</v>
      </c>
      <c r="D34" s="430"/>
      <c r="E34" s="28" t="s">
        <v>46</v>
      </c>
      <c r="F34" s="13"/>
      <c r="G34" s="12"/>
    </row>
    <row r="35" spans="2:7" s="9" customFormat="1" ht="17.25" customHeight="1" x14ac:dyDescent="0.25">
      <c r="B35" s="44" t="s">
        <v>323</v>
      </c>
      <c r="C35" s="554" t="s">
        <v>63</v>
      </c>
      <c r="D35" s="555"/>
      <c r="E35" s="70" t="str">
        <f>'2. Účetnictví'!F41</f>
        <v>Vyberte variantu</v>
      </c>
      <c r="F35" s="546" t="s">
        <v>325</v>
      </c>
      <c r="G35" s="546"/>
    </row>
    <row r="36" spans="2:7" s="9" customFormat="1" ht="23.1" customHeight="1" x14ac:dyDescent="0.25">
      <c r="B36" s="44" t="s">
        <v>324</v>
      </c>
      <c r="C36" s="554" t="s">
        <v>69</v>
      </c>
      <c r="D36" s="555"/>
      <c r="E36" s="70" t="str">
        <f>'2. Účetnictví'!F42</f>
        <v>Vyberte variantu</v>
      </c>
      <c r="F36" s="546"/>
      <c r="G36" s="546"/>
    </row>
    <row r="37" spans="2:7" s="9" customFormat="1" ht="17.25" customHeight="1" thickBot="1" x14ac:dyDescent="0.3">
      <c r="B37" s="475" t="s">
        <v>19</v>
      </c>
      <c r="C37" s="476"/>
      <c r="D37" s="476"/>
      <c r="E37" s="25" t="str">
        <f>IF(OR(E35="Ano",E36="Ano"),"Ano","Ne")</f>
        <v>Ne</v>
      </c>
      <c r="F37" s="43"/>
      <c r="G37" s="12"/>
    </row>
    <row r="38" spans="2:7" s="9" customFormat="1" ht="10.15" customHeight="1" thickBot="1" x14ac:dyDescent="0.3">
      <c r="B38" s="12"/>
      <c r="C38" s="8"/>
      <c r="E38" s="5"/>
      <c r="F38" s="13"/>
      <c r="G38" s="12"/>
    </row>
    <row r="39" spans="2:7" s="9" customFormat="1" ht="20.25" customHeight="1" x14ac:dyDescent="0.25">
      <c r="B39" s="27" t="s">
        <v>103</v>
      </c>
      <c r="C39" s="430" t="s">
        <v>61</v>
      </c>
      <c r="D39" s="430"/>
      <c r="E39" s="28" t="s">
        <v>46</v>
      </c>
      <c r="F39" s="13"/>
      <c r="G39" s="12"/>
    </row>
    <row r="40" spans="2:7" s="9" customFormat="1" ht="32.25" customHeight="1" x14ac:dyDescent="0.25">
      <c r="B40" s="44" t="s">
        <v>513</v>
      </c>
      <c r="C40" s="474" t="s">
        <v>69</v>
      </c>
      <c r="D40" s="474"/>
      <c r="E40" s="54" t="str">
        <f>'2. Účetnictví'!F46</f>
        <v>Vyberte variantu</v>
      </c>
      <c r="F40" s="13"/>
      <c r="G40" s="12"/>
    </row>
    <row r="41" spans="2:7" s="9" customFormat="1" ht="32.25" customHeight="1" x14ac:dyDescent="0.25">
      <c r="B41" s="44" t="s">
        <v>176</v>
      </c>
      <c r="C41" s="474" t="s">
        <v>69</v>
      </c>
      <c r="D41" s="474"/>
      <c r="E41" s="54" t="str">
        <f>'2. Účetnictví'!F47</f>
        <v>Vyberte variantu</v>
      </c>
      <c r="F41" s="13"/>
      <c r="G41" s="12"/>
    </row>
    <row r="42" spans="2:7" s="9" customFormat="1" ht="17.25" customHeight="1" thickBot="1" x14ac:dyDescent="0.3">
      <c r="B42" s="475" t="s">
        <v>20</v>
      </c>
      <c r="C42" s="476"/>
      <c r="D42" s="476"/>
      <c r="E42" s="25" t="str">
        <f>IF(OR(E40="Ano",E41="Ano"),"Ano","Ne")</f>
        <v>Ne</v>
      </c>
      <c r="F42" s="43"/>
      <c r="G42" s="12"/>
    </row>
    <row r="43" spans="2:7" s="9" customFormat="1" ht="10.15" customHeight="1" thickBot="1" x14ac:dyDescent="0.3">
      <c r="B43" s="12"/>
      <c r="C43" s="8"/>
      <c r="E43" s="5"/>
      <c r="F43" s="13"/>
      <c r="G43" s="12"/>
    </row>
    <row r="44" spans="2:7" s="9" customFormat="1" ht="20.25" customHeight="1" thickBot="1" x14ac:dyDescent="0.3">
      <c r="B44" s="481" t="s">
        <v>104</v>
      </c>
      <c r="C44" s="482"/>
      <c r="D44" s="483"/>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293</v>
      </c>
      <c r="D47" s="20" t="s">
        <v>37</v>
      </c>
      <c r="E47" s="51">
        <f>'2. Účetnictví'!F54</f>
        <v>0</v>
      </c>
      <c r="F47" s="52">
        <f>'2. Účetnictví'!G54</f>
        <v>0</v>
      </c>
      <c r="G47" s="8"/>
    </row>
    <row r="48" spans="2:7" s="9" customFormat="1" ht="17.25" customHeight="1" x14ac:dyDescent="0.25">
      <c r="B48" s="18" t="s">
        <v>99</v>
      </c>
      <c r="C48" s="19" t="s">
        <v>293</v>
      </c>
      <c r="D48" s="20" t="s">
        <v>70</v>
      </c>
      <c r="E48" s="51">
        <f>'2. Účetnictví'!F55</f>
        <v>0</v>
      </c>
      <c r="F48" s="52">
        <f>'2. Účetnictví'!G55</f>
        <v>0</v>
      </c>
      <c r="G48" s="8"/>
    </row>
    <row r="49" spans="2:6" s="9" customFormat="1" ht="17.25" customHeight="1" x14ac:dyDescent="0.25">
      <c r="B49" s="434" t="s">
        <v>88</v>
      </c>
      <c r="C49" s="435"/>
      <c r="D49" s="435"/>
      <c r="E49" s="6" t="str">
        <f>IF((E47)=0,"NR",(E48/E47))</f>
        <v>NR</v>
      </c>
      <c r="F49" s="7" t="str">
        <f>IF((F47)=0,"NR",(F48/F47))</f>
        <v>NR</v>
      </c>
    </row>
    <row r="50" spans="2:6" s="9" customFormat="1" ht="17.25" customHeight="1" thickBot="1" x14ac:dyDescent="0.3">
      <c r="B50" s="556" t="s">
        <v>22</v>
      </c>
      <c r="C50" s="557"/>
      <c r="D50" s="558"/>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58</v>
      </c>
      <c r="E53" s="51">
        <f>'2. Účetnictví'!F61</f>
        <v>0</v>
      </c>
      <c r="F53" s="52">
        <f>'2. Účetnictví'!G61</f>
        <v>0</v>
      </c>
    </row>
    <row r="54" spans="2:6" s="9" customFormat="1" ht="17.25" customHeight="1" x14ac:dyDescent="0.25">
      <c r="B54" s="18" t="s">
        <v>25</v>
      </c>
      <c r="C54" s="19" t="s">
        <v>50</v>
      </c>
      <c r="D54" s="20" t="s">
        <v>59</v>
      </c>
      <c r="E54" s="51">
        <f>'2. Účetnictví'!F62</f>
        <v>0</v>
      </c>
      <c r="F54" s="52">
        <f>'2. Účetnictví'!G62</f>
        <v>0</v>
      </c>
    </row>
    <row r="55" spans="2:6" s="9" customFormat="1" ht="17.25" customHeight="1" x14ac:dyDescent="0.25">
      <c r="B55" s="18" t="s">
        <v>27</v>
      </c>
      <c r="C55" s="19" t="s">
        <v>50</v>
      </c>
      <c r="D55" s="20" t="s">
        <v>60</v>
      </c>
      <c r="E55" s="51">
        <f>'2. Účetnictví'!F63</f>
        <v>0</v>
      </c>
      <c r="F55" s="52">
        <f>'2. Účetnictví'!G63</f>
        <v>0</v>
      </c>
    </row>
    <row r="56" spans="2:6" s="9" customFormat="1" ht="17.25" customHeight="1" x14ac:dyDescent="0.25">
      <c r="B56" s="434" t="s">
        <v>89</v>
      </c>
      <c r="C56" s="435"/>
      <c r="D56" s="435"/>
      <c r="E56" s="6" t="str">
        <f>IF(E54=0,"NR",(E53+E54+E55)/E54)</f>
        <v>NR</v>
      </c>
      <c r="F56" s="7" t="str">
        <f>IF(F54=0,"NR",(F53+F54+F55)/F54)</f>
        <v>NR</v>
      </c>
    </row>
    <row r="57" spans="2:6" s="9" customFormat="1" ht="17.25" customHeight="1" thickBot="1" x14ac:dyDescent="0.3">
      <c r="B57" s="475" t="s">
        <v>107</v>
      </c>
      <c r="C57" s="476"/>
      <c r="D57" s="476"/>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518" t="s">
        <v>29</v>
      </c>
      <c r="C59" s="519"/>
      <c r="D59" s="519"/>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92" t="s">
        <v>108</v>
      </c>
      <c r="C61" s="493"/>
      <c r="D61" s="494"/>
      <c r="E61" s="16" t="str">
        <f>IF(OR(E25="ANO",E32="Ano",E37="Ano",E42="Ano",E59="Ano"),"Ano","Ne")</f>
        <v>Ne</v>
      </c>
      <c r="F61" s="55" t="s">
        <v>259</v>
      </c>
    </row>
  </sheetData>
  <sheetProtection algorithmName="SHA-512" hashValue="XjnwlmACdpBteZ0vx4/JMM4Kt0X9ETbsBLclOVPkgxiGibX+9Z1DTe8EGpnPz9OSNvkRx0ZIF4rPimniBwgUaw==" saltValue="xutZGFMLmjTiQHGxOqdmhA==" spinCount="100000" sheet="1" objects="1" scenarios="1"/>
  <mergeCells count="48">
    <mergeCell ref="B50:D50"/>
    <mergeCell ref="B56:D56"/>
    <mergeCell ref="B57:D57"/>
    <mergeCell ref="B59:D59"/>
    <mergeCell ref="B61:D61"/>
    <mergeCell ref="B49:D49"/>
    <mergeCell ref="B32:D32"/>
    <mergeCell ref="C34:D34"/>
    <mergeCell ref="C35:D35"/>
    <mergeCell ref="C36:D36"/>
    <mergeCell ref="B37:D37"/>
    <mergeCell ref="C39:D39"/>
    <mergeCell ref="C40:D40"/>
    <mergeCell ref="C41:D41"/>
    <mergeCell ref="B42:D42"/>
    <mergeCell ref="B44:D44"/>
    <mergeCell ref="F23:G24"/>
    <mergeCell ref="F35:G36"/>
    <mergeCell ref="B14:C14"/>
    <mergeCell ref="B15:C15"/>
    <mergeCell ref="D15:F15"/>
    <mergeCell ref="B18:C18"/>
    <mergeCell ref="D18:E18"/>
    <mergeCell ref="B20:B21"/>
    <mergeCell ref="C20:C21"/>
    <mergeCell ref="D20:D21"/>
    <mergeCell ref="B25:D25"/>
    <mergeCell ref="B27:B28"/>
    <mergeCell ref="C27:C28"/>
    <mergeCell ref="D27:D28"/>
    <mergeCell ref="B11:C11"/>
    <mergeCell ref="D11:F11"/>
    <mergeCell ref="B12:C12"/>
    <mergeCell ref="D12:F12"/>
    <mergeCell ref="B13:C13"/>
    <mergeCell ref="D13:F13"/>
    <mergeCell ref="B7:C7"/>
    <mergeCell ref="D7:F7"/>
    <mergeCell ref="B8:C8"/>
    <mergeCell ref="D8:F8"/>
    <mergeCell ref="B10:C10"/>
    <mergeCell ref="D10:F10"/>
    <mergeCell ref="B4:C4"/>
    <mergeCell ref="D4:F4"/>
    <mergeCell ref="B5:C5"/>
    <mergeCell ref="D5:F5"/>
    <mergeCell ref="B6:C6"/>
    <mergeCell ref="D6:F6"/>
  </mergeCells>
  <conditionalFormatting sqref="A1:A33">
    <cfRule type="beginsWith" dxfId="262" priority="34" operator="beginsWith" text="RE">
      <formula>LEFT(A1,LEN("RE"))="RE"</formula>
    </cfRule>
    <cfRule type="containsText" dxfId="261" priority="35" operator="containsText" text="&quot;RELEVANTNÍ&quot;">
      <formula>NOT(ISERROR(SEARCH("""RELEVANTNÍ""",A1)))</formula>
    </cfRule>
  </conditionalFormatting>
  <conditionalFormatting sqref="A35:A38 A69:A1048576">
    <cfRule type="beginsWith" dxfId="260" priority="43" operator="beginsWith" text="RE">
      <formula>LEFT(A35,LEN("RE"))="RE"</formula>
    </cfRule>
    <cfRule type="containsText" dxfId="259" priority="44" operator="containsText" text="&quot;RELEVANTNÍ&quot;">
      <formula>NOT(ISERROR(SEARCH("""RELEVANTNÍ""",A35)))</formula>
    </cfRule>
  </conditionalFormatting>
  <conditionalFormatting sqref="A40:A63">
    <cfRule type="beginsWith" dxfId="258" priority="24" operator="beginsWith" text="RE">
      <formula>LEFT(A40,LEN("RE"))="RE"</formula>
    </cfRule>
    <cfRule type="containsText" dxfId="257" priority="25" operator="containsText" text="&quot;RELEVANTNÍ&quot;">
      <formula>NOT(ISERROR(SEARCH("""RELEVANTNÍ""",A40)))</formula>
    </cfRule>
  </conditionalFormatting>
  <conditionalFormatting sqref="E18">
    <cfRule type="beginsWith" dxfId="256" priority="41" operator="beginsWith" text="RE">
      <formula>LEFT(E18,LEN("RE"))="RE"</formula>
    </cfRule>
  </conditionalFormatting>
  <conditionalFormatting sqref="E20:E21">
    <cfRule type="beginsWith" dxfId="255" priority="7" operator="beginsWith" text="RE">
      <formula>LEFT(E20,LEN("RE"))="RE"</formula>
    </cfRule>
  </conditionalFormatting>
  <conditionalFormatting sqref="E22:E24">
    <cfRule type="expression" dxfId="254" priority="8">
      <formula>$E$20="NERELEVANTNÍ"</formula>
    </cfRule>
  </conditionalFormatting>
  <conditionalFormatting sqref="E23:E25">
    <cfRule type="beginsWith" dxfId="253" priority="9" operator="beginsWith" text="RE">
      <formula>LEFT(E23,LEN("RE"))="RE"</formula>
    </cfRule>
  </conditionalFormatting>
  <conditionalFormatting sqref="E25">
    <cfRule type="containsText" dxfId="252" priority="10" operator="containsText" text="Ne">
      <formula>NOT(ISERROR(SEARCH("Ne",E25)))</formula>
    </cfRule>
    <cfRule type="containsText" dxfId="251" priority="11" operator="containsText" text="Ano">
      <formula>NOT(ISERROR(SEARCH("Ano",E25)))</formula>
    </cfRule>
  </conditionalFormatting>
  <conditionalFormatting sqref="E28">
    <cfRule type="beginsWith" dxfId="250" priority="16" operator="beginsWith" text="RE">
      <formula>LEFT(E28,LEN("RE"))="RE"</formula>
    </cfRule>
  </conditionalFormatting>
  <conditionalFormatting sqref="E29:E31">
    <cfRule type="expression" dxfId="249" priority="30">
      <formula>$E$27="NERELEVANTNÍ"</formula>
    </cfRule>
    <cfRule type="beginsWith" dxfId="248" priority="31" operator="beginsWith" text="RE">
      <formula>LEFT(E29,LEN("RE"))="RE"</formula>
    </cfRule>
  </conditionalFormatting>
  <conditionalFormatting sqref="E32 E37 E42 E59 E61">
    <cfRule type="containsText" dxfId="247" priority="45" operator="containsText" text="Ne">
      <formula>NOT(ISERROR(SEARCH("Ne",E32)))</formula>
    </cfRule>
    <cfRule type="containsText" dxfId="246" priority="46" operator="containsText" text="Ano">
      <formula>NOT(ISERROR(SEARCH("Ano",E32)))</formula>
    </cfRule>
  </conditionalFormatting>
  <conditionalFormatting sqref="E1:F3 E9:F9 E17:F17 B19:E19 F19:F22 F25 E26:F27 F28:F31 E32:F34 F35 E37:F39 F40:F41">
    <cfRule type="beginsWith" dxfId="245" priority="42" operator="beginsWith" text="RE">
      <formula>LEFT(B1,LEN("RE"))="RE"</formula>
    </cfRule>
  </conditionalFormatting>
  <conditionalFormatting sqref="E42:F46">
    <cfRule type="beginsWith" dxfId="244" priority="15" operator="beginsWith" text="RE">
      <formula>LEFT(E42,LEN("RE"))="RE"</formula>
    </cfRule>
  </conditionalFormatting>
  <conditionalFormatting sqref="E47:F48">
    <cfRule type="expression" dxfId="243" priority="28">
      <formula>$E$44="NERELEVANTNÍ"</formula>
    </cfRule>
  </conditionalFormatting>
  <conditionalFormatting sqref="E47:F49">
    <cfRule type="beginsWith" dxfId="242" priority="29" operator="beginsWith" text="RE">
      <formula>LEFT(E47,LEN("RE"))="RE"</formula>
    </cfRule>
  </conditionalFormatting>
  <conditionalFormatting sqref="E50:F52">
    <cfRule type="beginsWith" dxfId="241" priority="14" operator="beginsWith" text="RE">
      <formula>LEFT(E50,LEN("RE"))="RE"</formula>
    </cfRule>
  </conditionalFormatting>
  <conditionalFormatting sqref="E53:F55">
    <cfRule type="expression" dxfId="240" priority="26">
      <formula>$E$44="NERELEVANTNÍ"</formula>
    </cfRule>
  </conditionalFormatting>
  <conditionalFormatting sqref="E53:F58">
    <cfRule type="beginsWith" dxfId="239" priority="27" operator="beginsWith" text="RE">
      <formula>LEFT(E53,LEN("RE"))="RE"</formula>
    </cfRule>
  </conditionalFormatting>
  <conditionalFormatting sqref="E59:F1048576">
    <cfRule type="beginsWith" dxfId="238" priority="1" operator="beginsWith" text="RE">
      <formula>LEFT(E59,LEN("RE"))="RE"</formula>
    </cfRule>
  </conditionalFormatting>
  <pageMargins left="0.39370078740157483" right="0.39370078740157483" top="0.39370078740157483" bottom="0.39370078740157483" header="0.31496062992125984" footer="0.31496062992125984"/>
  <pageSetup paperSize="9"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M61"/>
  <sheetViews>
    <sheetView showGridLines="0" topLeftCell="A18" zoomScale="104" zoomScaleNormal="80" workbookViewId="0">
      <selection activeCell="B41" sqref="B41"/>
    </sheetView>
  </sheetViews>
  <sheetFormatPr defaultColWidth="11" defaultRowHeight="14.25" x14ac:dyDescent="0.25"/>
  <cols>
    <col min="1" max="1" width="5.75" style="21" customWidth="1"/>
    <col min="2" max="2" width="64.25" style="13" customWidth="1"/>
    <col min="3" max="3" width="11.125" style="13" customWidth="1"/>
    <col min="4" max="4" width="12.625" style="5" customWidth="1"/>
    <col min="5" max="5" width="17" style="5" customWidth="1"/>
    <col min="6" max="6" width="15.5" style="13" customWidth="1"/>
    <col min="7" max="7" width="22" style="12" customWidth="1"/>
    <col min="8" max="13" width="10.5" style="9"/>
    <col min="14" max="16384" width="11" style="5"/>
  </cols>
  <sheetData>
    <row r="2" spans="1:6" ht="18" x14ac:dyDescent="0.25">
      <c r="B2" s="35" t="s">
        <v>272</v>
      </c>
      <c r="C2" s="47"/>
    </row>
    <row r="3" spans="1:6" ht="11.65" customHeight="1" thickBot="1" x14ac:dyDescent="0.3"/>
    <row r="4" spans="1:6" ht="21" customHeight="1" x14ac:dyDescent="0.25">
      <c r="A4" s="32" t="s">
        <v>74</v>
      </c>
      <c r="B4" s="448" t="s">
        <v>80</v>
      </c>
      <c r="C4" s="449"/>
      <c r="D4" s="530">
        <f>'2. Účetnictví'!E4</f>
        <v>0</v>
      </c>
      <c r="E4" s="530"/>
      <c r="F4" s="531"/>
    </row>
    <row r="5" spans="1:6" ht="15" hidden="1" x14ac:dyDescent="0.25">
      <c r="B5" s="451" t="s">
        <v>0</v>
      </c>
      <c r="C5" s="440"/>
      <c r="D5" s="532"/>
      <c r="E5" s="532"/>
      <c r="F5" s="533"/>
    </row>
    <row r="6" spans="1:6" ht="21" customHeight="1" x14ac:dyDescent="0.25">
      <c r="B6" s="451" t="s">
        <v>1</v>
      </c>
      <c r="C6" s="440"/>
      <c r="D6" s="532">
        <f>'2. Účetnictví'!E6</f>
        <v>0</v>
      </c>
      <c r="E6" s="532"/>
      <c r="F6" s="533"/>
    </row>
    <row r="7" spans="1:6" ht="19.5" customHeight="1" x14ac:dyDescent="0.25">
      <c r="B7" s="451" t="s">
        <v>246</v>
      </c>
      <c r="C7" s="440"/>
      <c r="D7" s="535">
        <f>'2. Účetnictví'!E8</f>
        <v>42222</v>
      </c>
      <c r="E7" s="535"/>
      <c r="F7" s="536"/>
    </row>
    <row r="8" spans="1:6" ht="21" customHeight="1" thickBot="1" x14ac:dyDescent="0.3">
      <c r="B8" s="464" t="s">
        <v>273</v>
      </c>
      <c r="C8" s="465"/>
      <c r="D8" s="462" t="str">
        <f>'2. Účetnictví'!E11</f>
        <v/>
      </c>
      <c r="E8" s="462"/>
      <c r="F8" s="463"/>
    </row>
    <row r="9" spans="1:6" ht="10.15" customHeight="1" thickBot="1" x14ac:dyDescent="0.3">
      <c r="C9" s="17"/>
    </row>
    <row r="10" spans="1:6" ht="21" customHeight="1" x14ac:dyDescent="0.25">
      <c r="B10" s="448" t="s">
        <v>262</v>
      </c>
      <c r="C10" s="566"/>
      <c r="D10" s="539" t="str">
        <f>'2. Účetnictví'!E16</f>
        <v>Vyberte variantu</v>
      </c>
      <c r="E10" s="539"/>
      <c r="F10" s="540"/>
    </row>
    <row r="11" spans="1:6" ht="21" customHeight="1" x14ac:dyDescent="0.25">
      <c r="B11" s="486" t="s">
        <v>256</v>
      </c>
      <c r="C11" s="568"/>
      <c r="D11" s="466" t="str">
        <f>'2. Účetnictví'!E17</f>
        <v>Vyberte variantu</v>
      </c>
      <c r="E11" s="466"/>
      <c r="F11" s="541"/>
    </row>
    <row r="12" spans="1:6" ht="52.9" customHeight="1" x14ac:dyDescent="0.25">
      <c r="B12" s="451" t="s">
        <v>258</v>
      </c>
      <c r="C12" s="559"/>
      <c r="D12" s="466" t="str">
        <f>'2. Účetnictví'!E18</f>
        <v>Vyberte variantu</v>
      </c>
      <c r="E12" s="466"/>
      <c r="F12" s="541"/>
    </row>
    <row r="13" spans="1:6" ht="70.150000000000006" customHeight="1" thickBot="1" x14ac:dyDescent="0.3">
      <c r="B13" s="488" t="s">
        <v>255</v>
      </c>
      <c r="C13" s="569"/>
      <c r="D13" s="542" t="str">
        <f>Výpočty!D46</f>
        <v/>
      </c>
      <c r="E13" s="542"/>
      <c r="F13" s="543"/>
    </row>
    <row r="14" spans="1:6" ht="21" hidden="1" customHeight="1" x14ac:dyDescent="0.25">
      <c r="B14" s="455" t="s">
        <v>79</v>
      </c>
      <c r="C14" s="456"/>
      <c r="D14" s="564" t="s">
        <v>177</v>
      </c>
      <c r="E14" s="564"/>
      <c r="F14" s="565"/>
    </row>
    <row r="15" spans="1:6" ht="21" hidden="1" customHeight="1" thickBot="1" x14ac:dyDescent="0.3">
      <c r="B15" s="560" t="s">
        <v>248</v>
      </c>
      <c r="C15" s="561"/>
      <c r="D15" s="562" t="s">
        <v>71</v>
      </c>
      <c r="E15" s="562"/>
      <c r="F15" s="563"/>
    </row>
    <row r="17" spans="1:13" ht="15" thickBot="1" x14ac:dyDescent="0.3"/>
    <row r="18" spans="1:13" ht="20.25" customHeight="1"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row>
    <row r="19" spans="1:13" ht="8.25" customHeight="1" thickBot="1" x14ac:dyDescent="0.3"/>
    <row r="20" spans="1:13" ht="20.25" customHeight="1" x14ac:dyDescent="0.25">
      <c r="B20" s="448" t="s">
        <v>311</v>
      </c>
      <c r="C20" s="472" t="s">
        <v>61</v>
      </c>
      <c r="D20" s="547" t="s">
        <v>64</v>
      </c>
      <c r="E20" s="28" t="str">
        <f>IF(OR(D18="kritéria A,C,D,E",D18="kritéria A,C,D"),"RELEVANTNÍ","NERELEVANTNÍ")</f>
        <v>NERELEVANTNÍ</v>
      </c>
      <c r="F20" s="5"/>
      <c r="G20" s="5"/>
      <c r="H20" s="5"/>
      <c r="I20" s="5"/>
      <c r="J20" s="5"/>
      <c r="K20" s="5"/>
      <c r="L20" s="5"/>
      <c r="M20" s="5"/>
    </row>
    <row r="21" spans="1:13" s="47" customFormat="1" ht="20.25" customHeight="1" x14ac:dyDescent="0.25">
      <c r="A21" s="21"/>
      <c r="B21" s="451"/>
      <c r="C21" s="473"/>
      <c r="D21" s="548"/>
      <c r="E21" s="33" t="str">
        <f>IF($D$8&gt;1,$D$8,"")</f>
        <v/>
      </c>
    </row>
    <row r="22" spans="1:13" s="47" customFormat="1" ht="17.25" customHeight="1" x14ac:dyDescent="0.25">
      <c r="A22" s="21"/>
      <c r="B22" s="29" t="s">
        <v>15</v>
      </c>
      <c r="C22" s="30" t="s">
        <v>293</v>
      </c>
      <c r="D22" s="31" t="s">
        <v>5</v>
      </c>
      <c r="E22" s="50">
        <f>'2. Účetnictví'!F28</f>
        <v>0</v>
      </c>
    </row>
    <row r="23" spans="1:13" ht="17.25" customHeight="1" x14ac:dyDescent="0.25">
      <c r="B23" s="29" t="s">
        <v>30</v>
      </c>
      <c r="C23" s="30" t="s">
        <v>293</v>
      </c>
      <c r="D23" s="31" t="s">
        <v>7</v>
      </c>
      <c r="E23" s="50">
        <f>'2. Účetnictví'!F29</f>
        <v>0</v>
      </c>
    </row>
    <row r="24" spans="1:13" ht="17.25" customHeight="1" x14ac:dyDescent="0.25">
      <c r="B24" s="29" t="s">
        <v>72</v>
      </c>
      <c r="C24" s="30" t="s">
        <v>293</v>
      </c>
      <c r="D24" s="31" t="s">
        <v>9</v>
      </c>
      <c r="E24" s="50">
        <f>'2. Účetnictví'!F30</f>
        <v>0</v>
      </c>
    </row>
    <row r="25" spans="1:13" ht="17.25" customHeight="1" thickBot="1" x14ac:dyDescent="0.3">
      <c r="B25" s="549" t="s">
        <v>14</v>
      </c>
      <c r="C25" s="550"/>
      <c r="D25" s="551"/>
      <c r="E25" s="25" t="str">
        <f>IF(E22&lt;((E23+E24)/2),"Ano","Ne")</f>
        <v>Ne</v>
      </c>
    </row>
    <row r="26" spans="1:13" ht="10.15" customHeight="1" thickBot="1" x14ac:dyDescent="0.3">
      <c r="D26" s="21"/>
      <c r="E26" s="21"/>
    </row>
    <row r="27" spans="1:13" s="9" customFormat="1" ht="20.25" customHeight="1" x14ac:dyDescent="0.25">
      <c r="A27" s="21"/>
      <c r="B27" s="567" t="s">
        <v>312</v>
      </c>
      <c r="C27" s="547" t="s">
        <v>61</v>
      </c>
      <c r="D27" s="547" t="s">
        <v>64</v>
      </c>
      <c r="E27" s="28" t="str">
        <f>IF(OR(D18="kritéria B,C,D,E",D18="kritéria B,C,D"),"RELEVANTNÍ","NERELEVANTNÍ")</f>
        <v>NERELEVANTNÍ</v>
      </c>
    </row>
    <row r="28" spans="1:13" s="9" customFormat="1" ht="20.25" customHeight="1" x14ac:dyDescent="0.25">
      <c r="A28" s="21"/>
      <c r="B28" s="455"/>
      <c r="C28" s="548"/>
      <c r="D28" s="548"/>
      <c r="E28" s="33" t="str">
        <f>IF($D$8&gt;1,$D$8,"")</f>
        <v/>
      </c>
    </row>
    <row r="29" spans="1:13" s="9" customFormat="1" ht="17.25" customHeight="1" x14ac:dyDescent="0.25">
      <c r="A29" s="21"/>
      <c r="B29" s="29" t="s">
        <v>15</v>
      </c>
      <c r="C29" s="30" t="s">
        <v>293</v>
      </c>
      <c r="D29" s="31" t="s">
        <v>5</v>
      </c>
      <c r="E29" s="50">
        <f>'2. Účetnictví'!F35</f>
        <v>0</v>
      </c>
    </row>
    <row r="30" spans="1:13" s="9" customFormat="1" ht="17.25" customHeight="1" x14ac:dyDescent="0.25">
      <c r="A30" s="21"/>
      <c r="B30" s="29" t="s">
        <v>10</v>
      </c>
      <c r="C30" s="30" t="s">
        <v>293</v>
      </c>
      <c r="D30" s="31" t="s">
        <v>11</v>
      </c>
      <c r="E30" s="50">
        <f>'2. Účetnictví'!F36</f>
        <v>0</v>
      </c>
    </row>
    <row r="31" spans="1:13" s="9" customFormat="1" ht="17.25" customHeight="1" x14ac:dyDescent="0.25">
      <c r="A31" s="21"/>
      <c r="B31" s="29" t="s">
        <v>12</v>
      </c>
      <c r="C31" s="30" t="s">
        <v>293</v>
      </c>
      <c r="D31" s="31" t="s">
        <v>13</v>
      </c>
      <c r="E31" s="50">
        <f>'2. Účetnictví'!F37</f>
        <v>0</v>
      </c>
    </row>
    <row r="32" spans="1:13" s="9" customFormat="1" ht="17.25" customHeight="1" thickBot="1" x14ac:dyDescent="0.3">
      <c r="A32" s="21"/>
      <c r="B32" s="477" t="s">
        <v>17</v>
      </c>
      <c r="C32" s="478"/>
      <c r="D32" s="478"/>
      <c r="E32" s="25" t="str">
        <f>IF(AND((E30+E31)&gt;0,E29&gt;0),"Ne",(IF((ABS(E30+E31))&gt;((E29-(E30+E31))/2),"Ano","Ne")))</f>
        <v>Ne</v>
      </c>
    </row>
    <row r="34" spans="2:6" s="9" customFormat="1" ht="20.25" customHeight="1" x14ac:dyDescent="0.25">
      <c r="B34" s="27" t="s">
        <v>102</v>
      </c>
      <c r="C34" s="430" t="s">
        <v>61</v>
      </c>
      <c r="D34" s="430"/>
      <c r="E34" s="28" t="s">
        <v>46</v>
      </c>
      <c r="F34" s="13"/>
    </row>
    <row r="35" spans="2:6" s="9" customFormat="1" ht="17.25" customHeight="1" x14ac:dyDescent="0.25">
      <c r="B35" s="44" t="s">
        <v>18</v>
      </c>
      <c r="C35" s="474" t="s">
        <v>63</v>
      </c>
      <c r="D35" s="474"/>
      <c r="E35" s="54" t="str">
        <f>'2. Účetnictví'!F41</f>
        <v>Vyberte variantu</v>
      </c>
      <c r="F35" s="13"/>
    </row>
    <row r="36" spans="2:6" s="9" customFormat="1" ht="17.25" customHeight="1" x14ac:dyDescent="0.25">
      <c r="B36" s="44" t="s">
        <v>175</v>
      </c>
      <c r="C36" s="474" t="s">
        <v>69</v>
      </c>
      <c r="D36" s="474"/>
      <c r="E36" s="54" t="str">
        <f>'2. Účetnictví'!F42</f>
        <v>Vyberte variantu</v>
      </c>
      <c r="F36" s="13"/>
    </row>
    <row r="37" spans="2:6" s="9" customFormat="1" ht="17.25" customHeight="1" thickBot="1" x14ac:dyDescent="0.3">
      <c r="B37" s="475" t="s">
        <v>19</v>
      </c>
      <c r="C37" s="476"/>
      <c r="D37" s="476"/>
      <c r="E37" s="25" t="str">
        <f>IF(OR(E35="Ano",E36="Ano"),"Ano","Ne")</f>
        <v>Ne</v>
      </c>
      <c r="F37" s="43" t="s">
        <v>366</v>
      </c>
    </row>
    <row r="38" spans="2:6" s="9" customFormat="1" ht="10.15" customHeight="1" thickBot="1" x14ac:dyDescent="0.3">
      <c r="B38" s="12"/>
      <c r="C38" s="12"/>
      <c r="E38" s="5"/>
      <c r="F38" s="13"/>
    </row>
    <row r="39" spans="2:6" s="9" customFormat="1" ht="20.25" customHeight="1" x14ac:dyDescent="0.25">
      <c r="B39" s="27" t="s">
        <v>103</v>
      </c>
      <c r="C39" s="430" t="s">
        <v>61</v>
      </c>
      <c r="D39" s="430"/>
      <c r="E39" s="28" t="s">
        <v>46</v>
      </c>
      <c r="F39" s="13"/>
    </row>
    <row r="40" spans="2:6" s="9" customFormat="1" ht="32.25" customHeight="1" x14ac:dyDescent="0.25">
      <c r="B40" s="44" t="s">
        <v>513</v>
      </c>
      <c r="C40" s="474" t="s">
        <v>69</v>
      </c>
      <c r="D40" s="474"/>
      <c r="E40" s="54" t="str">
        <f>'2. Účetnictví'!F46</f>
        <v>Vyberte variantu</v>
      </c>
      <c r="F40" s="13"/>
    </row>
    <row r="41" spans="2:6" s="9" customFormat="1" ht="32.25" customHeight="1" x14ac:dyDescent="0.25">
      <c r="B41" s="44" t="s">
        <v>176</v>
      </c>
      <c r="C41" s="474" t="s">
        <v>69</v>
      </c>
      <c r="D41" s="474"/>
      <c r="E41" s="54" t="str">
        <f>'2. Účetnictví'!F47</f>
        <v>Vyberte variantu</v>
      </c>
      <c r="F41" s="13"/>
    </row>
    <row r="42" spans="2:6" s="9" customFormat="1" ht="17.25" customHeight="1" thickBot="1" x14ac:dyDescent="0.3">
      <c r="B42" s="475" t="s">
        <v>20</v>
      </c>
      <c r="C42" s="476"/>
      <c r="D42" s="476"/>
      <c r="E42" s="25" t="str">
        <f>IF(OR(E40="Ano",E41="Ano"),"Ano","Ne")</f>
        <v>Ne</v>
      </c>
      <c r="F42" s="43" t="s">
        <v>366</v>
      </c>
    </row>
    <row r="43" spans="2:6" s="9" customFormat="1" ht="10.15" customHeight="1" thickBot="1" x14ac:dyDescent="0.3">
      <c r="B43" s="12"/>
      <c r="C43" s="12"/>
      <c r="E43" s="5"/>
      <c r="F43" s="13"/>
    </row>
    <row r="44" spans="2:6" s="9" customFormat="1" ht="20.25" customHeight="1" thickBot="1" x14ac:dyDescent="0.3">
      <c r="B44" s="481" t="s">
        <v>104</v>
      </c>
      <c r="C44" s="482"/>
      <c r="D44" s="483"/>
      <c r="E44" s="26" t="str">
        <f>IF(OR(D18="kritéria A,C,D,E",D18="kritéria B,C,D,E",D18="kritéria C,D,E"),"RELEVANTNÍ","NERELEVANTNÍ")</f>
        <v>NERELEVANTNÍ</v>
      </c>
      <c r="F44" s="17"/>
    </row>
    <row r="45" spans="2:6" s="9" customFormat="1" ht="5.25" customHeight="1" thickBot="1" x14ac:dyDescent="0.3">
      <c r="B45" s="12"/>
      <c r="C45" s="12"/>
      <c r="E45" s="21"/>
      <c r="F45" s="21"/>
    </row>
    <row r="46" spans="2:6" s="9" customFormat="1" ht="20.25" customHeight="1" x14ac:dyDescent="0.25">
      <c r="B46" s="22" t="s">
        <v>105</v>
      </c>
      <c r="C46" s="45" t="s">
        <v>61</v>
      </c>
      <c r="D46" s="45" t="s">
        <v>98</v>
      </c>
      <c r="E46" s="23" t="str">
        <f>IF($D$8&gt;1,$D$8,"")</f>
        <v/>
      </c>
      <c r="F46" s="24" t="e">
        <f>IF($D$8&gt;1,$D$8-1,"")</f>
        <v>#VALUE!</v>
      </c>
    </row>
    <row r="47" spans="2:6" s="9" customFormat="1" ht="17.25" customHeight="1" x14ac:dyDescent="0.25">
      <c r="B47" s="18" t="s">
        <v>15</v>
      </c>
      <c r="C47" s="19" t="s">
        <v>293</v>
      </c>
      <c r="D47" s="20" t="s">
        <v>5</v>
      </c>
      <c r="E47" s="49">
        <f>'2. Účetnictví'!F54</f>
        <v>0</v>
      </c>
      <c r="F47" s="50">
        <f>'2. Účetnictví'!G54</f>
        <v>0</v>
      </c>
    </row>
    <row r="48" spans="2:6" s="9" customFormat="1" ht="17.25" customHeight="1" x14ac:dyDescent="0.25">
      <c r="B48" s="18" t="s">
        <v>99</v>
      </c>
      <c r="C48" s="19" t="s">
        <v>293</v>
      </c>
      <c r="D48" s="20" t="s">
        <v>21</v>
      </c>
      <c r="E48" s="49">
        <f>'2. Účetnictví'!F55</f>
        <v>0</v>
      </c>
      <c r="F48" s="50">
        <f>'2. Účetnictví'!G55</f>
        <v>0</v>
      </c>
    </row>
    <row r="49" spans="2:6" s="9" customFormat="1" ht="17.25" customHeight="1" x14ac:dyDescent="0.25">
      <c r="B49" s="434" t="s">
        <v>88</v>
      </c>
      <c r="C49" s="435"/>
      <c r="D49" s="435"/>
      <c r="E49" s="6" t="str">
        <f>IF((E47)=0,"NR",(E48/E47))</f>
        <v>NR</v>
      </c>
      <c r="F49" s="7" t="str">
        <f>IF((F47)=0,"NR",(F48/F47))</f>
        <v>NR</v>
      </c>
    </row>
    <row r="50" spans="2:6" s="9" customFormat="1" ht="17.25" customHeight="1" thickBot="1" x14ac:dyDescent="0.3">
      <c r="B50" s="475" t="s">
        <v>22</v>
      </c>
      <c r="C50" s="476"/>
      <c r="D50" s="476"/>
      <c r="E50" s="10" t="str">
        <f>IF((E47)="0","Ano",IF((E49)&lt;0,"Chyba",IF(E49&gt;7.5,"Ano","Ne")))</f>
        <v>Ano</v>
      </c>
      <c r="F50" s="11" t="str">
        <f>IF((F47)="0","Ano",IF((F49)&lt;0,"Chyba",IF(F49&gt;7.5,"Ano","Ne")))</f>
        <v>Ano</v>
      </c>
    </row>
    <row r="51" spans="2:6" s="9" customFormat="1" ht="5.25" customHeight="1" thickBot="1" x14ac:dyDescent="0.3">
      <c r="B51" s="12"/>
      <c r="C51" s="12"/>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100</v>
      </c>
      <c r="E53" s="49">
        <f>'2. Účetnictví'!F61</f>
        <v>0</v>
      </c>
      <c r="F53" s="50">
        <f>'2. Účetnictví'!G61</f>
        <v>0</v>
      </c>
    </row>
    <row r="54" spans="2:6" s="9" customFormat="1" ht="17.25" customHeight="1" x14ac:dyDescent="0.25">
      <c r="B54" s="18" t="s">
        <v>25</v>
      </c>
      <c r="C54" s="19" t="s">
        <v>50</v>
      </c>
      <c r="D54" s="20" t="s">
        <v>26</v>
      </c>
      <c r="E54" s="49">
        <f>'2. Účetnictví'!F62</f>
        <v>0</v>
      </c>
      <c r="F54" s="50">
        <f>'2. Účetnictví'!G62</f>
        <v>0</v>
      </c>
    </row>
    <row r="55" spans="2:6" s="9" customFormat="1" ht="17.25" customHeight="1" x14ac:dyDescent="0.25">
      <c r="B55" s="18" t="s">
        <v>27</v>
      </c>
      <c r="C55" s="19" t="s">
        <v>50</v>
      </c>
      <c r="D55" s="20" t="s">
        <v>28</v>
      </c>
      <c r="E55" s="49">
        <f>'2. Účetnictví'!F63</f>
        <v>0</v>
      </c>
      <c r="F55" s="50">
        <f>'2. Účetnictví'!G63</f>
        <v>0</v>
      </c>
    </row>
    <row r="56" spans="2:6" s="9" customFormat="1" ht="17.25" customHeight="1" x14ac:dyDescent="0.25">
      <c r="B56" s="434" t="s">
        <v>89</v>
      </c>
      <c r="C56" s="435"/>
      <c r="D56" s="435"/>
      <c r="E56" s="6" t="str">
        <f>IF(E54=0,"NR",(E53+E54+E55)/E54)</f>
        <v>NR</v>
      </c>
      <c r="F56" s="7" t="str">
        <f>IF(F54=0,"NR",(F53+F54+F55)/F54)</f>
        <v>NR</v>
      </c>
    </row>
    <row r="57" spans="2:6" s="9" customFormat="1" ht="17.25" customHeight="1" thickBot="1" x14ac:dyDescent="0.3">
      <c r="B57" s="475" t="s">
        <v>107</v>
      </c>
      <c r="C57" s="476"/>
      <c r="D57" s="476"/>
      <c r="E57" s="10" t="str">
        <f>IF((E56)="NR","NR",IF((E56)&lt;1,"Ano","Ne"))</f>
        <v>NR</v>
      </c>
      <c r="F57" s="11" t="str">
        <f>IF((F56)="NR","NR",IF((F56)&lt;1,"Ano","Ne"))</f>
        <v>NR</v>
      </c>
    </row>
    <row r="58" spans="2:6" ht="5.25" customHeight="1" thickBot="1" x14ac:dyDescent="0.3">
      <c r="B58" s="12"/>
      <c r="C58" s="12"/>
      <c r="D58" s="9"/>
    </row>
    <row r="59" spans="2:6" s="9" customFormat="1" ht="20.25" customHeight="1" thickBot="1" x14ac:dyDescent="0.3">
      <c r="B59" s="495" t="s">
        <v>29</v>
      </c>
      <c r="C59" s="496"/>
      <c r="D59" s="497"/>
      <c r="E59" s="14" t="str">
        <f>IF(AND(E50="ANO",F50="Ano",E57="Ano",F57="Ano"),"Ano","Ne")</f>
        <v>Ne</v>
      </c>
      <c r="F59" s="43" t="s">
        <v>366</v>
      </c>
    </row>
    <row r="60" spans="2:6" s="9" customFormat="1" ht="15" customHeight="1" thickBot="1" x14ac:dyDescent="0.3">
      <c r="B60" s="12"/>
      <c r="C60" s="12"/>
      <c r="E60" s="5"/>
      <c r="F60" s="13"/>
    </row>
    <row r="61" spans="2:6" s="9" customFormat="1" ht="32.25" customHeight="1" thickBot="1" x14ac:dyDescent="0.3">
      <c r="B61" s="492" t="s">
        <v>108</v>
      </c>
      <c r="C61" s="493"/>
      <c r="D61" s="494"/>
      <c r="E61" s="16" t="str">
        <f>IF(OR(E25="ANO",E32="Ano",E37="Ano",E42="Ano",E59="Ano"),"Ano","Ne")</f>
        <v>Ne</v>
      </c>
      <c r="F61" s="55"/>
    </row>
  </sheetData>
  <sheetProtection algorithmName="SHA-512" hashValue="NEaBMN5qLNVy0eonb0m3brCmabRNv2Mdij99PxgevgsSJN8BgYJJzcp2YcB1VVuqqJwZ+f/89YAYABcGzYFLDQ==" saltValue="5uuu/2lSrzUiGaYvnHG1Kg==" spinCount="100000" sheet="1" objects="1" scenarios="1"/>
  <mergeCells count="47">
    <mergeCell ref="D20:D21"/>
    <mergeCell ref="B27:B28"/>
    <mergeCell ref="C27:C28"/>
    <mergeCell ref="D27:D28"/>
    <mergeCell ref="D10:F10"/>
    <mergeCell ref="B11:C11"/>
    <mergeCell ref="D11:F11"/>
    <mergeCell ref="D18:E18"/>
    <mergeCell ref="B20:B21"/>
    <mergeCell ref="C20:C21"/>
    <mergeCell ref="B13:C13"/>
    <mergeCell ref="D13:F13"/>
    <mergeCell ref="C35:D35"/>
    <mergeCell ref="B49:D49"/>
    <mergeCell ref="B37:D37"/>
    <mergeCell ref="C40:D40"/>
    <mergeCell ref="C41:D41"/>
    <mergeCell ref="C39:D39"/>
    <mergeCell ref="B42:D42"/>
    <mergeCell ref="B44:D44"/>
    <mergeCell ref="D4:F4"/>
    <mergeCell ref="D5:F5"/>
    <mergeCell ref="D6:F6"/>
    <mergeCell ref="D7:F7"/>
    <mergeCell ref="D8:F8"/>
    <mergeCell ref="B4:C4"/>
    <mergeCell ref="B5:C5"/>
    <mergeCell ref="B6:C6"/>
    <mergeCell ref="B7:C7"/>
    <mergeCell ref="B10:C10"/>
    <mergeCell ref="B8:C8"/>
    <mergeCell ref="B59:D59"/>
    <mergeCell ref="B61:D61"/>
    <mergeCell ref="B12:C12"/>
    <mergeCell ref="B14:C14"/>
    <mergeCell ref="B18:C18"/>
    <mergeCell ref="C36:D36"/>
    <mergeCell ref="B32:D32"/>
    <mergeCell ref="B25:D25"/>
    <mergeCell ref="B15:C15"/>
    <mergeCell ref="D15:F15"/>
    <mergeCell ref="B50:D50"/>
    <mergeCell ref="B56:D56"/>
    <mergeCell ref="B57:D57"/>
    <mergeCell ref="D12:F12"/>
    <mergeCell ref="D14:F14"/>
    <mergeCell ref="C34:D34"/>
  </mergeCells>
  <conditionalFormatting sqref="A1:A19">
    <cfRule type="beginsWith" dxfId="237" priority="54" operator="beginsWith" text="RE">
      <formula>LEFT(A1,LEN("RE"))="RE"</formula>
    </cfRule>
    <cfRule type="containsText" dxfId="236" priority="55" operator="containsText" text="&quot;RELEVANTNÍ&quot;">
      <formula>NOT(ISERROR(SEARCH("""RELEVANTNÍ""",A1)))</formula>
    </cfRule>
  </conditionalFormatting>
  <conditionalFormatting sqref="A23:A33 A35:A38 A68:A1048576">
    <cfRule type="beginsWith" dxfId="235" priority="80" operator="beginsWith" text="RE">
      <formula>LEFT(A23,LEN("RE"))="RE"</formula>
    </cfRule>
    <cfRule type="containsText" dxfId="234" priority="81" operator="containsText" text="&quot;RELEVANTNÍ&quot;">
      <formula>NOT(ISERROR(SEARCH("""RELEVANTNÍ""",A23)))</formula>
    </cfRule>
  </conditionalFormatting>
  <conditionalFormatting sqref="A40:A63">
    <cfRule type="beginsWith" dxfId="233" priority="26" operator="beginsWith" text="RE">
      <formula>LEFT(A40,LEN("RE"))="RE"</formula>
    </cfRule>
    <cfRule type="containsText" dxfId="232" priority="27" operator="containsText" text="&quot;RELEVANTNÍ&quot;">
      <formula>NOT(ISERROR(SEARCH("""RELEVANTNÍ""",A40)))</formula>
    </cfRule>
  </conditionalFormatting>
  <conditionalFormatting sqref="E21">
    <cfRule type="beginsWith" dxfId="231" priority="12" operator="beginsWith" text="RE">
      <formula>LEFT(E21,LEN("RE"))="RE"</formula>
    </cfRule>
  </conditionalFormatting>
  <conditionalFormatting sqref="E22:E24">
    <cfRule type="expression" dxfId="230" priority="53">
      <formula>$E$20="NERELEVANTNÍ"</formula>
    </cfRule>
  </conditionalFormatting>
  <conditionalFormatting sqref="E25">
    <cfRule type="containsText" dxfId="229" priority="84" operator="containsText" text="Ne">
      <formula>NOT(ISERROR(SEARCH("Ne",E25)))</formula>
    </cfRule>
    <cfRule type="containsText" dxfId="228" priority="85" operator="containsText" text="Ano">
      <formula>NOT(ISERROR(SEARCH("Ano",E25)))</formula>
    </cfRule>
  </conditionalFormatting>
  <conditionalFormatting sqref="E28">
    <cfRule type="beginsWith" dxfId="227" priority="11" operator="beginsWith" text="RE">
      <formula>LEFT(E28,LEN("RE"))="RE"</formula>
    </cfRule>
  </conditionalFormatting>
  <conditionalFormatting sqref="E29:E31">
    <cfRule type="expression" dxfId="226" priority="34">
      <formula>$E$27="NERELEVANTNÍ"</formula>
    </cfRule>
  </conditionalFormatting>
  <conditionalFormatting sqref="E30:E31">
    <cfRule type="beginsWith" dxfId="225" priority="35" operator="beginsWith" text="RE">
      <formula>LEFT(E30,LEN("RE"))="RE"</formula>
    </cfRule>
  </conditionalFormatting>
  <conditionalFormatting sqref="E32 E37 E42 E59 E61">
    <cfRule type="containsText" dxfId="224" priority="86" operator="containsText" text="Ne">
      <formula>NOT(ISERROR(SEARCH("Ne",E32)))</formula>
    </cfRule>
    <cfRule type="containsText" dxfId="223" priority="87" operator="containsText" text="Ano">
      <formula>NOT(ISERROR(SEARCH("Ano",E32)))</formula>
    </cfRule>
  </conditionalFormatting>
  <conditionalFormatting sqref="E14:F15">
    <cfRule type="beginsWith" dxfId="222" priority="19" operator="beginsWith" text="RE">
      <formula>LEFT(E14,LEN("RE"))="RE"</formula>
    </cfRule>
  </conditionalFormatting>
  <conditionalFormatting sqref="E23:F27 E1:F9 E17:F17 E18 E19:F20 F21:F22 F28:F31 E32:F34 E37 E38:F39 E42">
    <cfRule type="beginsWith" dxfId="221" priority="79" operator="beginsWith" text="RE">
      <formula>LEFT(E1,LEN("RE"))="RE"</formula>
    </cfRule>
  </conditionalFormatting>
  <conditionalFormatting sqref="E43:F46">
    <cfRule type="beginsWith" dxfId="220" priority="10" operator="beginsWith" text="RE">
      <formula>LEFT(E43,LEN("RE"))="RE"</formula>
    </cfRule>
  </conditionalFormatting>
  <conditionalFormatting sqref="E47:F48">
    <cfRule type="expression" dxfId="219" priority="30">
      <formula>$E$44="NERELEVANTNÍ"</formula>
    </cfRule>
  </conditionalFormatting>
  <conditionalFormatting sqref="E48:F48">
    <cfRule type="beginsWith" dxfId="218" priority="31" operator="beginsWith" text="RE">
      <formula>LEFT(E48,LEN("RE"))="RE"</formula>
    </cfRule>
  </conditionalFormatting>
  <conditionalFormatting sqref="E49:F52">
    <cfRule type="beginsWith" dxfId="217" priority="9" operator="beginsWith" text="RE">
      <formula>LEFT(E49,LEN("RE"))="RE"</formula>
    </cfRule>
  </conditionalFormatting>
  <conditionalFormatting sqref="E53:F55">
    <cfRule type="expression" dxfId="216" priority="28">
      <formula>$E$44="NERELEVANTNÍ"</formula>
    </cfRule>
  </conditionalFormatting>
  <conditionalFormatting sqref="E54:F54">
    <cfRule type="beginsWith" dxfId="215" priority="29" operator="beginsWith" text="RE">
      <formula>LEFT(E54,LEN("RE"))="RE"</formula>
    </cfRule>
  </conditionalFormatting>
  <conditionalFormatting sqref="E56:F1048576">
    <cfRule type="beginsWith" dxfId="214" priority="1" operator="beginsWith" text="RE">
      <formula>LEFT(E56,LEN("RE"))="RE"</formula>
    </cfRule>
  </conditionalFormatting>
  <conditionalFormatting sqref="F35:F37">
    <cfRule type="beginsWith" dxfId="213" priority="4" operator="beginsWith" text="RE">
      <formula>LEFT(F35,LEN("RE"))="RE"</formula>
    </cfRule>
  </conditionalFormatting>
  <conditionalFormatting sqref="F40:F42">
    <cfRule type="beginsWith" dxfId="212" priority="3" operator="beginsWith" text="RE">
      <formula>LEFT(F40,LEN("RE"))="RE"</formula>
    </cfRule>
  </conditionalFormatting>
  <conditionalFormatting sqref="H47:H49">
    <cfRule type="beginsWith" dxfId="211" priority="69" operator="beginsWith" text="RE">
      <formula>LEFT(H47,LEN("RE"))="RE"</formula>
    </cfRule>
  </conditionalFormatting>
  <conditionalFormatting sqref="H53:H55">
    <cfRule type="beginsWith" dxfId="210" priority="67" operator="beginsWith" text="RE">
      <formula>LEFT(H53,LEN("RE"))="RE"</formula>
    </cfRule>
  </conditionalFormatting>
  <pageMargins left="0.39370078740157483" right="0.39370078740157483" top="0.39370078740157483"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'typy žadatelů'!$B$78:$B$80</xm:f>
          </x14:formula1>
          <xm:sqref>D15:F15</xm:sqref>
        </x14:dataValidation>
        <x14:dataValidation type="list" allowBlank="1" showInputMessage="1" showErrorMessage="1" xr:uid="{00000000-0002-0000-0700-000001000000}">
          <x14:formula1>
            <xm:f>'typy žadatelů'!$D$10:$D$26</xm:f>
          </x14:formula1>
          <xm:sqref>D14:F14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G61"/>
  <sheetViews>
    <sheetView topLeftCell="A31" zoomScale="117"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3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48" t="s">
        <v>80</v>
      </c>
      <c r="C4" s="449"/>
      <c r="D4" s="530">
        <f>'2. Účetnictví'!E4</f>
        <v>0</v>
      </c>
      <c r="E4" s="530"/>
      <c r="F4" s="531"/>
    </row>
    <row r="5" spans="1:6" hidden="1" x14ac:dyDescent="0.25">
      <c r="A5" s="21"/>
      <c r="B5" s="451" t="s">
        <v>0</v>
      </c>
      <c r="C5" s="440"/>
      <c r="D5" s="532"/>
      <c r="E5" s="532"/>
      <c r="F5" s="533"/>
    </row>
    <row r="6" spans="1:6" x14ac:dyDescent="0.25">
      <c r="A6" s="21"/>
      <c r="B6" s="451" t="s">
        <v>1</v>
      </c>
      <c r="C6" s="440"/>
      <c r="D6" s="532">
        <f>'2. Účetnictví'!E6</f>
        <v>0</v>
      </c>
      <c r="E6" s="532"/>
      <c r="F6" s="533"/>
    </row>
    <row r="7" spans="1:6" x14ac:dyDescent="0.25">
      <c r="A7" s="21"/>
      <c r="B7" s="451" t="s">
        <v>246</v>
      </c>
      <c r="C7" s="440"/>
      <c r="D7" s="535">
        <f>'2. Účetnictví'!E8</f>
        <v>42222</v>
      </c>
      <c r="E7" s="535"/>
      <c r="F7" s="536"/>
    </row>
    <row r="8" spans="1:6" ht="16.5" thickBot="1" x14ac:dyDescent="0.3">
      <c r="A8" s="21"/>
      <c r="B8" s="464" t="s">
        <v>273</v>
      </c>
      <c r="C8" s="465"/>
      <c r="D8" s="462" t="str">
        <f>'2. Účetnictví'!E11</f>
        <v/>
      </c>
      <c r="E8" s="462"/>
      <c r="F8" s="463"/>
    </row>
    <row r="9" spans="1:6" ht="16.5" thickBot="1" x14ac:dyDescent="0.3">
      <c r="A9" s="21"/>
      <c r="B9" s="13"/>
      <c r="C9" s="17"/>
      <c r="D9" s="5"/>
      <c r="E9" s="5"/>
      <c r="F9" s="13"/>
    </row>
    <row r="10" spans="1:6" x14ac:dyDescent="0.25">
      <c r="A10" s="21"/>
      <c r="B10" s="448" t="s">
        <v>262</v>
      </c>
      <c r="C10" s="449"/>
      <c r="D10" s="539" t="str">
        <f>'2. Účetnictví'!E16</f>
        <v>Vyberte variantu</v>
      </c>
      <c r="E10" s="539"/>
      <c r="F10" s="540"/>
    </row>
    <row r="11" spans="1:6" x14ac:dyDescent="0.25">
      <c r="A11" s="21"/>
      <c r="B11" s="486" t="s">
        <v>256</v>
      </c>
      <c r="C11" s="487"/>
      <c r="D11" s="466" t="str">
        <f>'2. Účetnictví'!E17</f>
        <v>Vyberte variantu</v>
      </c>
      <c r="E11" s="466"/>
      <c r="F11" s="541"/>
    </row>
    <row r="12" spans="1:6" ht="60.6" customHeight="1" x14ac:dyDescent="0.25">
      <c r="A12" s="21"/>
      <c r="B12" s="451" t="s">
        <v>258</v>
      </c>
      <c r="C12" s="440"/>
      <c r="D12" s="466" t="str">
        <f>'2. Účetnictví'!E18</f>
        <v>Vyberte variantu</v>
      </c>
      <c r="E12" s="466"/>
      <c r="F12" s="541"/>
    </row>
    <row r="13" spans="1:6" ht="64.900000000000006" customHeight="1" thickBot="1" x14ac:dyDescent="0.3">
      <c r="A13" s="21"/>
      <c r="B13" s="488" t="s">
        <v>255</v>
      </c>
      <c r="C13" s="489"/>
      <c r="D13" s="542" t="str">
        <f>Výpočty!D46</f>
        <v/>
      </c>
      <c r="E13" s="542"/>
      <c r="F13" s="543"/>
    </row>
    <row r="14" spans="1:6" hidden="1" x14ac:dyDescent="0.25">
      <c r="A14" s="21"/>
      <c r="B14" s="455" t="s">
        <v>79</v>
      </c>
      <c r="C14" s="456"/>
      <c r="D14" s="564" t="s">
        <v>177</v>
      </c>
      <c r="E14" s="564"/>
      <c r="F14" s="565"/>
    </row>
    <row r="15" spans="1:6" ht="16.5" hidden="1" thickBot="1" x14ac:dyDescent="0.3">
      <c r="A15" s="21"/>
      <c r="B15" s="560" t="s">
        <v>248</v>
      </c>
      <c r="C15" s="561"/>
      <c r="D15" s="562" t="s">
        <v>71</v>
      </c>
      <c r="E15" s="562"/>
      <c r="F15" s="563"/>
    </row>
    <row r="17" spans="1:5" ht="16.5" thickBot="1" x14ac:dyDescent="0.3"/>
    <row r="18" spans="1:5" ht="16.5"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row>
    <row r="19" spans="1:5" ht="16.5" thickBot="1" x14ac:dyDescent="0.3">
      <c r="A19" s="21"/>
      <c r="B19" s="13"/>
      <c r="C19" s="13"/>
      <c r="D19" s="5"/>
      <c r="E19" s="5"/>
    </row>
    <row r="20" spans="1:5" ht="15.6" customHeight="1" x14ac:dyDescent="0.25">
      <c r="A20" s="21"/>
      <c r="B20" s="448" t="s">
        <v>286</v>
      </c>
      <c r="C20" s="472" t="s">
        <v>61</v>
      </c>
      <c r="D20" s="570" t="s">
        <v>64</v>
      </c>
      <c r="E20" s="28" t="str">
        <f>IF(OR(D18="kritéria A,C,D,E",D18="kritéria A,C,D"),"RELEVANTNÍ","NERELEVANTNÍ")</f>
        <v>NERELEVANTNÍ</v>
      </c>
    </row>
    <row r="21" spans="1:5" x14ac:dyDescent="0.25">
      <c r="A21" s="21"/>
      <c r="B21" s="451"/>
      <c r="C21" s="473"/>
      <c r="D21" s="571"/>
      <c r="E21" s="33" t="str">
        <f>IF($D$8&gt;1,$D$8,"")</f>
        <v/>
      </c>
    </row>
    <row r="22" spans="1:5" ht="30.6" customHeight="1" x14ac:dyDescent="0.25">
      <c r="A22" s="21"/>
      <c r="B22" s="29" t="s">
        <v>15</v>
      </c>
      <c r="C22" s="30" t="s">
        <v>293</v>
      </c>
      <c r="D22" s="30" t="s">
        <v>290</v>
      </c>
      <c r="E22" s="50">
        <f>'2. Účetnictví'!F28</f>
        <v>0</v>
      </c>
    </row>
    <row r="23" spans="1:5" ht="31.15" customHeight="1" x14ac:dyDescent="0.25">
      <c r="A23" s="21"/>
      <c r="B23" s="29" t="s">
        <v>30</v>
      </c>
      <c r="C23" s="30" t="s">
        <v>293</v>
      </c>
      <c r="D23" s="30" t="s">
        <v>288</v>
      </c>
      <c r="E23" s="50">
        <f>'2. Účetnictví'!F29</f>
        <v>0</v>
      </c>
    </row>
    <row r="24" spans="1:5" x14ac:dyDescent="0.25">
      <c r="A24" s="21"/>
      <c r="B24" s="29" t="s">
        <v>72</v>
      </c>
      <c r="C24" s="30" t="s">
        <v>293</v>
      </c>
      <c r="D24" s="30" t="s">
        <v>289</v>
      </c>
      <c r="E24" s="50">
        <f>'2. Účetnictví'!F30</f>
        <v>0</v>
      </c>
    </row>
    <row r="25" spans="1:5" ht="25.9" customHeight="1" thickBot="1" x14ac:dyDescent="0.3">
      <c r="A25" s="21"/>
      <c r="B25" s="549" t="s">
        <v>14</v>
      </c>
      <c r="C25" s="550"/>
      <c r="D25" s="551"/>
      <c r="E25" s="25" t="str">
        <f>IF(E22&lt;((E23+E24)/2),"Ano","Ne")</f>
        <v>Ne</v>
      </c>
    </row>
    <row r="26" spans="1:5" ht="16.5" thickBot="1" x14ac:dyDescent="0.3">
      <c r="A26" s="21"/>
      <c r="B26" s="13"/>
      <c r="C26" s="13"/>
      <c r="D26" s="21"/>
      <c r="E26" s="21"/>
    </row>
    <row r="27" spans="1:5" x14ac:dyDescent="0.25">
      <c r="A27" s="21"/>
      <c r="B27" s="567" t="s">
        <v>287</v>
      </c>
      <c r="C27" s="547" t="s">
        <v>61</v>
      </c>
      <c r="D27" s="547" t="s">
        <v>64</v>
      </c>
      <c r="E27" s="28" t="str">
        <f>IF(OR(D18="kritéria B,C,D,E",D18="kritéria B,C,D"),"RELEVANTNÍ","NERELEVANTNÍ")</f>
        <v>NERELEVANTNÍ</v>
      </c>
    </row>
    <row r="28" spans="1:5" x14ac:dyDescent="0.25">
      <c r="A28" s="21"/>
      <c r="B28" s="455"/>
      <c r="C28" s="548"/>
      <c r="D28" s="548"/>
      <c r="E28" s="33" t="str">
        <f>IF($D$8&gt;1,$D$8,"")</f>
        <v/>
      </c>
    </row>
    <row r="29" spans="1:5" ht="28.5" x14ac:dyDescent="0.25">
      <c r="A29" s="21"/>
      <c r="B29" s="29" t="s">
        <v>15</v>
      </c>
      <c r="C29" s="30" t="s">
        <v>293</v>
      </c>
      <c r="D29" s="30" t="s">
        <v>290</v>
      </c>
      <c r="E29" s="50">
        <f>'2. Účetnictví'!F35</f>
        <v>0</v>
      </c>
    </row>
    <row r="30" spans="1:5" ht="31.15" customHeight="1" x14ac:dyDescent="0.25">
      <c r="A30" s="21"/>
      <c r="B30" s="29" t="s">
        <v>10</v>
      </c>
      <c r="C30" s="30" t="s">
        <v>293</v>
      </c>
      <c r="D30" s="31" t="s">
        <v>291</v>
      </c>
      <c r="E30" s="50">
        <f>'2. Účetnictví'!F36</f>
        <v>0</v>
      </c>
    </row>
    <row r="31" spans="1:5" ht="35.450000000000003" customHeight="1" x14ac:dyDescent="0.25">
      <c r="A31" s="21"/>
      <c r="B31" s="29" t="s">
        <v>12</v>
      </c>
      <c r="C31" s="30" t="s">
        <v>293</v>
      </c>
      <c r="D31" s="31" t="s">
        <v>292</v>
      </c>
      <c r="E31" s="50">
        <f>'2. Účetnictví'!F37</f>
        <v>0</v>
      </c>
    </row>
    <row r="32" spans="1:5" ht="33" customHeight="1" thickBot="1" x14ac:dyDescent="0.3">
      <c r="A32" s="21"/>
      <c r="B32" s="477" t="s">
        <v>17</v>
      </c>
      <c r="C32" s="478"/>
      <c r="D32" s="478"/>
      <c r="E32" s="25" t="str">
        <f>IF(AND((E30+E31)&gt;0,E29&gt;0),"Ne",(IF((ABS(E30+E31))&gt;((E29-(E30+E31))/2),"Ano","Ne")))</f>
        <v>Ne</v>
      </c>
    </row>
    <row r="34" spans="2:7" ht="37.9" customHeight="1" x14ac:dyDescent="0.25">
      <c r="B34" s="27" t="s">
        <v>102</v>
      </c>
      <c r="C34" s="430" t="s">
        <v>61</v>
      </c>
      <c r="D34" s="430"/>
      <c r="E34" s="28" t="s">
        <v>46</v>
      </c>
      <c r="F34" s="13"/>
    </row>
    <row r="35" spans="2:7" ht="43.9" customHeight="1" x14ac:dyDescent="0.25">
      <c r="B35" s="44" t="s">
        <v>323</v>
      </c>
      <c r="C35" s="474" t="s">
        <v>63</v>
      </c>
      <c r="D35" s="474"/>
      <c r="E35" s="54" t="str">
        <f>'2. Účetnictví'!F41</f>
        <v>Vyberte variantu</v>
      </c>
      <c r="F35" s="572" t="s">
        <v>325</v>
      </c>
      <c r="G35" s="546"/>
    </row>
    <row r="36" spans="2:7" ht="25.9" customHeight="1" x14ac:dyDescent="0.25">
      <c r="B36" s="44" t="s">
        <v>324</v>
      </c>
      <c r="C36" s="474" t="s">
        <v>69</v>
      </c>
      <c r="D36" s="474"/>
      <c r="E36" s="54" t="str">
        <f>'2. Účetnictví'!F42</f>
        <v>Vyberte variantu</v>
      </c>
      <c r="F36" s="572"/>
      <c r="G36" s="546"/>
    </row>
    <row r="37" spans="2:7" ht="25.9" customHeight="1" thickBot="1" x14ac:dyDescent="0.3">
      <c r="B37" s="475" t="s">
        <v>19</v>
      </c>
      <c r="C37" s="476"/>
      <c r="D37" s="476"/>
      <c r="E37" s="25" t="str">
        <f>IF(OR(E35="Ano",E36="Ano"),"Ano","Ne")</f>
        <v>Ne</v>
      </c>
      <c r="F37" s="43" t="s">
        <v>366</v>
      </c>
    </row>
    <row r="38" spans="2:7" ht="16.5" thickBot="1" x14ac:dyDescent="0.3">
      <c r="B38" s="12"/>
      <c r="C38" s="12"/>
      <c r="D38" s="9"/>
      <c r="E38" s="5"/>
      <c r="F38" s="13"/>
    </row>
    <row r="39" spans="2:7" ht="24" customHeight="1" x14ac:dyDescent="0.25">
      <c r="B39" s="27" t="s">
        <v>103</v>
      </c>
      <c r="C39" s="430" t="s">
        <v>61</v>
      </c>
      <c r="D39" s="430"/>
      <c r="E39" s="28" t="s">
        <v>46</v>
      </c>
      <c r="F39" s="13"/>
    </row>
    <row r="40" spans="2:7" ht="45" customHeight="1" x14ac:dyDescent="0.25">
      <c r="B40" s="44" t="s">
        <v>513</v>
      </c>
      <c r="C40" s="474" t="s">
        <v>69</v>
      </c>
      <c r="D40" s="474"/>
      <c r="E40" s="54" t="str">
        <f>'2. Účetnictví'!F46</f>
        <v>Vyberte variantu</v>
      </c>
      <c r="F40" s="13"/>
    </row>
    <row r="41" spans="2:7" ht="41.45" customHeight="1" x14ac:dyDescent="0.25">
      <c r="B41" s="44" t="s">
        <v>176</v>
      </c>
      <c r="C41" s="474" t="s">
        <v>69</v>
      </c>
      <c r="D41" s="474"/>
      <c r="E41" s="54" t="str">
        <f>'2. Účetnictví'!F47</f>
        <v>Vyberte variantu</v>
      </c>
      <c r="F41" s="13"/>
    </row>
    <row r="42" spans="2:7" ht="16.5" thickBot="1" x14ac:dyDescent="0.3">
      <c r="B42" s="475" t="s">
        <v>20</v>
      </c>
      <c r="C42" s="476"/>
      <c r="D42" s="476"/>
      <c r="E42" s="25" t="str">
        <f>IF(OR(E40="Ano",E41="Ano"),"Ano","Ne")</f>
        <v>Ne</v>
      </c>
      <c r="F42" s="43" t="s">
        <v>366</v>
      </c>
    </row>
    <row r="43" spans="2:7" ht="16.5" thickBot="1" x14ac:dyDescent="0.3">
      <c r="B43" s="12"/>
      <c r="C43" s="12"/>
      <c r="D43" s="9"/>
      <c r="E43" s="5"/>
      <c r="F43" s="13"/>
    </row>
    <row r="44" spans="2:7" ht="16.5" thickBot="1" x14ac:dyDescent="0.3">
      <c r="B44" s="481" t="s">
        <v>104</v>
      </c>
      <c r="C44" s="482"/>
      <c r="D44" s="483"/>
      <c r="E44" s="26" t="str">
        <f>IF(OR(D18="kritéria A,C,D,E",D18="kritéria B,C,D,E",D18="kritéria C,D,E"),"RELEVANTNÍ","NERELEVANTNÍ")</f>
        <v>NERELEVANTNÍ</v>
      </c>
      <c r="F44" s="17"/>
    </row>
    <row r="45" spans="2:7" ht="16.5" thickBot="1" x14ac:dyDescent="0.3">
      <c r="B45" s="12"/>
      <c r="C45" s="12"/>
      <c r="D45" s="9"/>
      <c r="E45" s="21"/>
      <c r="F45" s="21"/>
    </row>
    <row r="46" spans="2:7" ht="29.45" customHeight="1" x14ac:dyDescent="0.25">
      <c r="B46" s="22" t="s">
        <v>105</v>
      </c>
      <c r="C46" s="45" t="s">
        <v>61</v>
      </c>
      <c r="D46" s="45" t="s">
        <v>98</v>
      </c>
      <c r="E46" s="23" t="str">
        <f>IF($D$8&gt;1,$D$8,"")</f>
        <v/>
      </c>
      <c r="F46" s="24" t="e">
        <f>IF($D$8&gt;1,$D$8-1,"")</f>
        <v>#VALUE!</v>
      </c>
    </row>
    <row r="47" spans="2:7" ht="28.9" customHeight="1" x14ac:dyDescent="0.25">
      <c r="B47" s="18" t="s">
        <v>15</v>
      </c>
      <c r="C47" s="19" t="s">
        <v>293</v>
      </c>
      <c r="D47" s="19" t="s">
        <v>290</v>
      </c>
      <c r="E47" s="49">
        <f>'2. Účetnictví'!F54</f>
        <v>0</v>
      </c>
      <c r="F47" s="50">
        <f>'2. Účetnictví'!G54</f>
        <v>0</v>
      </c>
    </row>
    <row r="48" spans="2:7" ht="26.45" customHeight="1" x14ac:dyDescent="0.25">
      <c r="B48" s="18" t="s">
        <v>99</v>
      </c>
      <c r="C48" s="19" t="s">
        <v>293</v>
      </c>
      <c r="D48" s="20" t="s">
        <v>294</v>
      </c>
      <c r="E48" s="49">
        <f>'2. Účetnictví'!F55</f>
        <v>0</v>
      </c>
      <c r="F48" s="50">
        <f>'2. Účetnictví'!G55</f>
        <v>0</v>
      </c>
    </row>
    <row r="49" spans="2:6" ht="25.9" customHeight="1" x14ac:dyDescent="0.25">
      <c r="B49" s="434" t="s">
        <v>88</v>
      </c>
      <c r="C49" s="435"/>
      <c r="D49" s="435"/>
      <c r="E49" s="6" t="str">
        <f>IF((E47)=0,"NR",(E48/E47))</f>
        <v>NR</v>
      </c>
      <c r="F49" s="7" t="str">
        <f>IF((F47)=0,"NR",(F48/F47))</f>
        <v>NR</v>
      </c>
    </row>
    <row r="50" spans="2:6" ht="24" customHeight="1" thickBot="1" x14ac:dyDescent="0.3">
      <c r="B50" s="475" t="s">
        <v>22</v>
      </c>
      <c r="C50" s="476"/>
      <c r="D50" s="476"/>
      <c r="E50" s="10" t="str">
        <f>IF((E47)="0","Ano",IF((E49)&lt;0,"Chyba",IF(E49&gt;7.5,"Ano","Ne")))</f>
        <v>Ano</v>
      </c>
      <c r="F50" s="11" t="str">
        <f>IF((F47)="0","Ano",IF((F49)&lt;0,"Chyba",IF(F49&gt;7.5,"Ano","Ne")))</f>
        <v>Ano</v>
      </c>
    </row>
    <row r="51" spans="2:6" ht="16.5" thickBot="1" x14ac:dyDescent="0.3">
      <c r="B51" s="12"/>
      <c r="C51" s="12"/>
      <c r="D51" s="9"/>
      <c r="E51" s="21"/>
      <c r="F51" s="21"/>
    </row>
    <row r="52" spans="2:6" ht="28.9"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296</v>
      </c>
      <c r="E54" s="49">
        <f>'2. Účetnictví'!F62</f>
        <v>0</v>
      </c>
      <c r="F54" s="50">
        <f>'2. Účetnictví'!G62</f>
        <v>0</v>
      </c>
    </row>
    <row r="55" spans="2:6" ht="22.15" customHeight="1" x14ac:dyDescent="0.25">
      <c r="B55" s="18" t="s">
        <v>27</v>
      </c>
      <c r="C55" s="19" t="s">
        <v>50</v>
      </c>
      <c r="D55" s="20" t="s">
        <v>297</v>
      </c>
      <c r="E55" s="49">
        <f>'2. Účetnictví'!F63</f>
        <v>0</v>
      </c>
      <c r="F55" s="50">
        <f>'2. Účetnictví'!G63</f>
        <v>0</v>
      </c>
    </row>
    <row r="56" spans="2:6" x14ac:dyDescent="0.25">
      <c r="B56" s="434" t="s">
        <v>89</v>
      </c>
      <c r="C56" s="435"/>
      <c r="D56" s="435"/>
      <c r="E56" s="6" t="str">
        <f>IF(E54=0,"NR",(E53+E54+E55)/E54)</f>
        <v>NR</v>
      </c>
      <c r="F56" s="7" t="str">
        <f>IF(F54=0,"NR",(F53+F54+F55)/F54)</f>
        <v>NR</v>
      </c>
    </row>
    <row r="57" spans="2:6" ht="16.5" thickBot="1" x14ac:dyDescent="0.3">
      <c r="B57" s="475" t="s">
        <v>107</v>
      </c>
      <c r="C57" s="476"/>
      <c r="D57" s="476"/>
      <c r="E57" s="10" t="str">
        <f>IF((E56)="NR","NR",IF((E56)&lt;1,"Ano","Ne"))</f>
        <v>NR</v>
      </c>
      <c r="F57" s="11" t="str">
        <f>IF((F56)="NR","NR",IF((F56)&lt;1,"Ano","Ne"))</f>
        <v>NR</v>
      </c>
    </row>
    <row r="58" spans="2:6" ht="16.5" thickBot="1" x14ac:dyDescent="0.3">
      <c r="B58" s="12"/>
      <c r="C58" s="12"/>
      <c r="D58" s="9"/>
      <c r="E58" s="5"/>
      <c r="F58" s="13"/>
    </row>
    <row r="59" spans="2:6" ht="16.5" thickBot="1" x14ac:dyDescent="0.3">
      <c r="B59" s="495" t="s">
        <v>29</v>
      </c>
      <c r="C59" s="496"/>
      <c r="D59" s="497"/>
      <c r="E59" s="14" t="str">
        <f>IF(AND(E50="ANO",F50="Ano",E57="Ano",F57="Ano"),"Ano","Ne")</f>
        <v>Ne</v>
      </c>
      <c r="F59" s="43" t="s">
        <v>366</v>
      </c>
    </row>
    <row r="60" spans="2:6" ht="16.5" thickBot="1" x14ac:dyDescent="0.3">
      <c r="B60" s="12"/>
      <c r="C60" s="12"/>
      <c r="D60" s="9"/>
      <c r="E60" s="5"/>
      <c r="F60" s="13"/>
    </row>
    <row r="61" spans="2:6" ht="16.5" thickBot="1" x14ac:dyDescent="0.3">
      <c r="B61" s="492" t="s">
        <v>108</v>
      </c>
      <c r="C61" s="493"/>
      <c r="D61" s="494"/>
      <c r="E61" s="16" t="str">
        <f>IF(OR(E25="ANO",E32="Ano",E37="Ano",E42="Ano",E59="Ano"),"Ano","Ne")</f>
        <v>Ne</v>
      </c>
      <c r="F61" s="55"/>
    </row>
  </sheetData>
  <sheetProtection algorithmName="SHA-512" hashValue="6dzy2nZlJIUP37Rv6RuYEDb3cnPglskfreR+cPV5L6xq419wkEvPPY43e/0bxFp5ISei8vpJtoNg9nlVFBxeuA==" saltValue="z4jPqWihToYS5IHeU9dY6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209" priority="29" operator="beginsWith" text="RE">
      <formula>LEFT(A1,LEN("RE"))="RE"</formula>
    </cfRule>
    <cfRule type="containsText" dxfId="208" priority="30" operator="containsText" text="&quot;RELEVANTNÍ&quot;">
      <formula>NOT(ISERROR(SEARCH("""RELEVANTNÍ""",A1)))</formula>
    </cfRule>
  </conditionalFormatting>
  <conditionalFormatting sqref="A23:A33 A35:A38">
    <cfRule type="beginsWith" dxfId="207" priority="40" operator="beginsWith" text="RE">
      <formula>LEFT(A23,LEN("RE"))="RE"</formula>
    </cfRule>
    <cfRule type="containsText" dxfId="206" priority="41" operator="containsText" text="&quot;RELEVANTNÍ&quot;">
      <formula>NOT(ISERROR(SEARCH("""RELEVANTNÍ""",A23)))</formula>
    </cfRule>
  </conditionalFormatting>
  <conditionalFormatting sqref="A40:A61">
    <cfRule type="beginsWith" dxfId="205" priority="18" operator="beginsWith" text="RE">
      <formula>LEFT(A40,LEN("RE"))="RE"</formula>
    </cfRule>
    <cfRule type="containsText" dxfId="204" priority="19" operator="containsText" text="&quot;RELEVANTNÍ&quot;">
      <formula>NOT(ISERROR(SEARCH("""RELEVANTNÍ""",A40)))</formula>
    </cfRule>
  </conditionalFormatting>
  <conditionalFormatting sqref="E21">
    <cfRule type="beginsWith" dxfId="203" priority="10" operator="beginsWith" text="RE">
      <formula>LEFT(E21,LEN("RE"))="RE"</formula>
    </cfRule>
  </conditionalFormatting>
  <conditionalFormatting sqref="E22:E24">
    <cfRule type="expression" dxfId="202" priority="28">
      <formula>$E$20="NERELEVANTNÍ"</formula>
    </cfRule>
  </conditionalFormatting>
  <conditionalFormatting sqref="E25">
    <cfRule type="containsText" dxfId="201" priority="42" operator="containsText" text="Ne">
      <formula>NOT(ISERROR(SEARCH("Ne",E25)))</formula>
    </cfRule>
    <cfRule type="containsText" dxfId="200" priority="43" operator="containsText" text="Ano">
      <formula>NOT(ISERROR(SEARCH("Ano",E25)))</formula>
    </cfRule>
  </conditionalFormatting>
  <conditionalFormatting sqref="E28">
    <cfRule type="beginsWith" dxfId="199" priority="9" operator="beginsWith" text="RE">
      <formula>LEFT(E28,LEN("RE"))="RE"</formula>
    </cfRule>
  </conditionalFormatting>
  <conditionalFormatting sqref="E29:E31">
    <cfRule type="expression" dxfId="198" priority="26">
      <formula>$E$27="NERELEVANTNÍ"</formula>
    </cfRule>
  </conditionalFormatting>
  <conditionalFormatting sqref="E30:E31">
    <cfRule type="beginsWith" dxfId="197" priority="27" operator="beginsWith" text="RE">
      <formula>LEFT(E30,LEN("RE"))="RE"</formula>
    </cfRule>
  </conditionalFormatting>
  <conditionalFormatting sqref="E32 E37 E42 E59 E61">
    <cfRule type="containsText" dxfId="196" priority="45" operator="containsText" text="Ano">
      <formula>NOT(ISERROR(SEARCH("Ano",E32)))</formula>
    </cfRule>
  </conditionalFormatting>
  <conditionalFormatting sqref="E32 E42 E37 E59 E61">
    <cfRule type="containsText" dxfId="195" priority="44" operator="containsText" text="Ne">
      <formula>NOT(ISERROR(SEARCH("Ne",E32)))</formula>
    </cfRule>
  </conditionalFormatting>
  <conditionalFormatting sqref="E14:F15">
    <cfRule type="beginsWith" dxfId="194" priority="15" operator="beginsWith" text="RE">
      <formula>LEFT(E14,LEN("RE"))="RE"</formula>
    </cfRule>
  </conditionalFormatting>
  <conditionalFormatting sqref="E23:F27 E1:F9 E17:F17 E18 E19:F20 F21:F22 F28:F31 E32:F34 E42">
    <cfRule type="beginsWith" dxfId="193" priority="39" operator="beginsWith" text="RE">
      <formula>LEFT(E1,LEN("RE"))="RE"</formula>
    </cfRule>
  </conditionalFormatting>
  <conditionalFormatting sqref="E37:F39">
    <cfRule type="beginsWith" dxfId="192" priority="4" operator="beginsWith" text="RE">
      <formula>LEFT(E37,LEN("RE"))="RE"</formula>
    </cfRule>
  </conditionalFormatting>
  <conditionalFormatting sqref="E43:F46">
    <cfRule type="beginsWith" dxfId="191" priority="8" operator="beginsWith" text="RE">
      <formula>LEFT(E43,LEN("RE"))="RE"</formula>
    </cfRule>
  </conditionalFormatting>
  <conditionalFormatting sqref="E47:F48">
    <cfRule type="expression" dxfId="190" priority="22">
      <formula>$E$44="NERELEVANTNÍ"</formula>
    </cfRule>
  </conditionalFormatting>
  <conditionalFormatting sqref="E48:F48">
    <cfRule type="beginsWith" dxfId="189" priority="23" operator="beginsWith" text="RE">
      <formula>LEFT(E48,LEN("RE"))="RE"</formula>
    </cfRule>
  </conditionalFormatting>
  <conditionalFormatting sqref="E49:F52">
    <cfRule type="beginsWith" dxfId="188" priority="7" operator="beginsWith" text="RE">
      <formula>LEFT(E49,LEN("RE"))="RE"</formula>
    </cfRule>
  </conditionalFormatting>
  <conditionalFormatting sqref="E53:F55">
    <cfRule type="expression" dxfId="187" priority="20">
      <formula>$E$44="NERELEVANTNÍ"</formula>
    </cfRule>
  </conditionalFormatting>
  <conditionalFormatting sqref="E54:F54">
    <cfRule type="beginsWith" dxfId="186" priority="21" operator="beginsWith" text="RE">
      <formula>LEFT(E54,LEN("RE"))="RE"</formula>
    </cfRule>
  </conditionalFormatting>
  <conditionalFormatting sqref="E56:F61">
    <cfRule type="beginsWith" dxfId="185" priority="1" operator="beginsWith" text="RE">
      <formula>LEFT(E56,LEN("RE"))="RE"</formula>
    </cfRule>
  </conditionalFormatting>
  <conditionalFormatting sqref="F35">
    <cfRule type="beginsWith" dxfId="184" priority="5" operator="beginsWith" text="RE">
      <formula>LEFT(F35,LEN("RE"))="RE"</formula>
    </cfRule>
  </conditionalFormatting>
  <conditionalFormatting sqref="F40:F42">
    <cfRule type="beginsWith" dxfId="183"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'typy žadatelů'!$D$10:$D$26</xm:f>
          </x14:formula1>
          <xm:sqref>D14:F14</xm:sqref>
        </x14:dataValidation>
        <x14:dataValidation type="list" allowBlank="1" showInputMessage="1" showErrorMessage="1" xr:uid="{00000000-0002-0000-0800-000001000000}">
          <x14:formula1>
            <xm:f>'typy žadatelů'!$B$78:$B$80</xm:f>
          </x14:formula1>
          <xm:sqref>D15:F15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61"/>
  <sheetViews>
    <sheetView topLeftCell="A31" zoomScale="113"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5" customWidth="1"/>
  </cols>
  <sheetData>
    <row r="2" spans="1:6" ht="18" x14ac:dyDescent="0.25">
      <c r="A2" s="21"/>
      <c r="B2" s="35" t="s">
        <v>272</v>
      </c>
      <c r="C2" s="47"/>
      <c r="D2" s="5"/>
      <c r="E2" s="5"/>
      <c r="F2" s="13"/>
    </row>
    <row r="3" spans="1:6" ht="16.5" thickBot="1" x14ac:dyDescent="0.3">
      <c r="A3" s="21"/>
      <c r="B3" s="13"/>
      <c r="C3" s="13"/>
      <c r="D3" s="5"/>
      <c r="E3" s="5"/>
      <c r="F3" s="13"/>
    </row>
    <row r="4" spans="1:6" ht="23.45" customHeight="1" x14ac:dyDescent="0.25">
      <c r="A4" s="32" t="s">
        <v>74</v>
      </c>
      <c r="B4" s="448" t="s">
        <v>80</v>
      </c>
      <c r="C4" s="449"/>
      <c r="D4" s="530">
        <f>'2. Účetnictví'!E4</f>
        <v>0</v>
      </c>
      <c r="E4" s="530"/>
      <c r="F4" s="531"/>
    </row>
    <row r="5" spans="1:6" ht="25.15" hidden="1" customHeight="1" x14ac:dyDescent="0.25">
      <c r="A5" s="21"/>
      <c r="B5" s="451" t="s">
        <v>0</v>
      </c>
      <c r="C5" s="440"/>
      <c r="D5" s="532"/>
      <c r="E5" s="532"/>
      <c r="F5" s="533"/>
    </row>
    <row r="6" spans="1:6" ht="25.9" customHeight="1" x14ac:dyDescent="0.25">
      <c r="A6" s="21"/>
      <c r="B6" s="451" t="s">
        <v>1</v>
      </c>
      <c r="C6" s="440"/>
      <c r="D6" s="532">
        <f>'2. Účetnictví'!E6</f>
        <v>0</v>
      </c>
      <c r="E6" s="532"/>
      <c r="F6" s="533"/>
    </row>
    <row r="7" spans="1:6" ht="25.9" customHeight="1" x14ac:dyDescent="0.25">
      <c r="A7" s="21"/>
      <c r="B7" s="451" t="s">
        <v>246</v>
      </c>
      <c r="C7" s="440"/>
      <c r="D7" s="535">
        <f>'2. Účetnictví'!E8</f>
        <v>42222</v>
      </c>
      <c r="E7" s="535"/>
      <c r="F7" s="536"/>
    </row>
    <row r="8" spans="1:6" ht="30" customHeight="1" thickBot="1" x14ac:dyDescent="0.3">
      <c r="A8" s="21"/>
      <c r="B8" s="464" t="s">
        <v>273</v>
      </c>
      <c r="C8" s="465"/>
      <c r="D8" s="462" t="str">
        <f>'2. Účetnictví'!E11</f>
        <v/>
      </c>
      <c r="E8" s="462"/>
      <c r="F8" s="463"/>
    </row>
    <row r="9" spans="1:6" ht="16.5" thickBot="1" x14ac:dyDescent="0.3">
      <c r="A9" s="21"/>
      <c r="B9" s="13"/>
      <c r="C9" s="17"/>
      <c r="D9" s="5"/>
      <c r="E9" s="5"/>
      <c r="F9" s="13"/>
    </row>
    <row r="10" spans="1:6" ht="24.6" customHeight="1" x14ac:dyDescent="0.25">
      <c r="A10" s="21"/>
      <c r="B10" s="448" t="s">
        <v>262</v>
      </c>
      <c r="C10" s="566"/>
      <c r="D10" s="539" t="str">
        <f>'2. Účetnictví'!E16</f>
        <v>Vyberte variantu</v>
      </c>
      <c r="E10" s="539"/>
      <c r="F10" s="540"/>
    </row>
    <row r="11" spans="1:6" ht="25.9" customHeight="1" x14ac:dyDescent="0.25">
      <c r="A11" s="21"/>
      <c r="B11" s="486" t="s">
        <v>256</v>
      </c>
      <c r="C11" s="568"/>
      <c r="D11" s="466" t="str">
        <f>'2. Účetnictví'!E17</f>
        <v>Vyberte variantu</v>
      </c>
      <c r="E11" s="466"/>
      <c r="F11" s="541"/>
    </row>
    <row r="12" spans="1:6" ht="60.6" customHeight="1" x14ac:dyDescent="0.25">
      <c r="A12" s="21"/>
      <c r="B12" s="451" t="s">
        <v>258</v>
      </c>
      <c r="C12" s="559"/>
      <c r="D12" s="466" t="str">
        <f>'2. Účetnictví'!E18</f>
        <v>Vyberte variantu</v>
      </c>
      <c r="E12" s="466"/>
      <c r="F12" s="541"/>
    </row>
    <row r="13" spans="1:6" ht="77.45" customHeight="1" thickBot="1" x14ac:dyDescent="0.3">
      <c r="A13" s="21"/>
      <c r="B13" s="488" t="s">
        <v>255</v>
      </c>
      <c r="C13" s="569"/>
      <c r="D13" s="542" t="str">
        <f>Výpočty!D46</f>
        <v/>
      </c>
      <c r="E13" s="542"/>
      <c r="F13" s="543"/>
    </row>
    <row r="14" spans="1:6" hidden="1" x14ac:dyDescent="0.25">
      <c r="A14" s="21"/>
      <c r="B14" s="455" t="s">
        <v>79</v>
      </c>
      <c r="C14" s="456"/>
      <c r="D14" s="564" t="s">
        <v>177</v>
      </c>
      <c r="E14" s="564"/>
      <c r="F14" s="565"/>
    </row>
    <row r="15" spans="1:6" ht="16.5" hidden="1" thickBot="1" x14ac:dyDescent="0.3">
      <c r="A15" s="21"/>
      <c r="B15" s="560" t="s">
        <v>248</v>
      </c>
      <c r="C15" s="561"/>
      <c r="D15" s="562" t="s">
        <v>71</v>
      </c>
      <c r="E15" s="562"/>
      <c r="F15" s="563"/>
    </row>
    <row r="17" spans="1:5" ht="16.5" thickBot="1" x14ac:dyDescent="0.3"/>
    <row r="18" spans="1:5" ht="16.5" thickBot="1" x14ac:dyDescent="0.3">
      <c r="A18" s="32" t="s">
        <v>75</v>
      </c>
      <c r="B18" s="512" t="s">
        <v>90</v>
      </c>
      <c r="C18" s="513"/>
      <c r="D18" s="467"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8"/>
    </row>
    <row r="19" spans="1:5" ht="16.5" thickBot="1" x14ac:dyDescent="0.3">
      <c r="A19" s="21"/>
      <c r="B19" s="13"/>
      <c r="C19" s="13"/>
      <c r="D19" s="5"/>
      <c r="E19" s="5"/>
    </row>
    <row r="20" spans="1:5" x14ac:dyDescent="0.25">
      <c r="A20" s="21"/>
      <c r="B20" s="448" t="s">
        <v>305</v>
      </c>
      <c r="C20" s="472" t="s">
        <v>61</v>
      </c>
      <c r="D20" s="547" t="s">
        <v>64</v>
      </c>
      <c r="E20" s="28" t="str">
        <f>IF(OR(D18="kritéria A,C,D,E",D18="kritéria A,C,D"),"RELEVANTNÍ","NERELEVANTNÍ")</f>
        <v>NERELEVANTNÍ</v>
      </c>
    </row>
    <row r="21" spans="1:5" x14ac:dyDescent="0.25">
      <c r="A21" s="21"/>
      <c r="B21" s="451"/>
      <c r="C21" s="473"/>
      <c r="D21" s="548"/>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293</v>
      </c>
      <c r="D24" s="31" t="s">
        <v>299</v>
      </c>
      <c r="E24" s="50">
        <f>'2. Účetnictví'!F30</f>
        <v>0</v>
      </c>
    </row>
    <row r="25" spans="1:5" ht="16.5" thickBot="1" x14ac:dyDescent="0.3">
      <c r="A25" s="21"/>
      <c r="B25" s="549" t="s">
        <v>14</v>
      </c>
      <c r="C25" s="550"/>
      <c r="D25" s="551"/>
      <c r="E25" s="25" t="str">
        <f>IF(E22&lt;((E23+E24)/2),"Ano","Ne")</f>
        <v>Ne</v>
      </c>
    </row>
    <row r="26" spans="1:5" ht="16.5" thickBot="1" x14ac:dyDescent="0.3">
      <c r="A26" s="21"/>
      <c r="B26" s="13"/>
      <c r="C26" s="13"/>
      <c r="D26" s="21"/>
      <c r="E26" s="21"/>
    </row>
    <row r="27" spans="1:5" x14ac:dyDescent="0.25">
      <c r="A27" s="21"/>
      <c r="B27" s="567" t="s">
        <v>306</v>
      </c>
      <c r="C27" s="547" t="s">
        <v>61</v>
      </c>
      <c r="D27" s="547" t="s">
        <v>64</v>
      </c>
      <c r="E27" s="28" t="str">
        <f>IF(OR(D18="kritéria B,C,D,E",D18="kritéria B,C,D"),"RELEVANTNÍ","NERELEVANTNÍ")</f>
        <v>NERELEVANTNÍ</v>
      </c>
    </row>
    <row r="28" spans="1:5" x14ac:dyDescent="0.25">
      <c r="A28" s="21"/>
      <c r="B28" s="455"/>
      <c r="C28" s="548"/>
      <c r="D28" s="548"/>
      <c r="E28" s="33" t="str">
        <f>IF($D$8&gt;1,$D$8,"")</f>
        <v/>
      </c>
    </row>
    <row r="29" spans="1:5" x14ac:dyDescent="0.25">
      <c r="A29" s="21"/>
      <c r="B29" s="29" t="s">
        <v>15</v>
      </c>
      <c r="C29" s="30" t="s">
        <v>293</v>
      </c>
      <c r="D29" s="31" t="s">
        <v>5</v>
      </c>
      <c r="E29" s="50">
        <f>'2. Účetnictví'!F35</f>
        <v>0</v>
      </c>
    </row>
    <row r="30" spans="1:5" ht="47.45" customHeight="1" x14ac:dyDescent="0.25">
      <c r="A30" s="21"/>
      <c r="B30" s="29" t="s">
        <v>10</v>
      </c>
      <c r="C30" s="30" t="s">
        <v>293</v>
      </c>
      <c r="D30" s="31" t="s">
        <v>300</v>
      </c>
      <c r="E30" s="50">
        <f>'2. Účetnictví'!F36</f>
        <v>0</v>
      </c>
    </row>
    <row r="31" spans="1:5" ht="43.15" customHeight="1" x14ac:dyDescent="0.25">
      <c r="A31" s="21"/>
      <c r="B31" s="29" t="s">
        <v>12</v>
      </c>
      <c r="C31" s="30" t="s">
        <v>293</v>
      </c>
      <c r="D31" s="31" t="s">
        <v>301</v>
      </c>
      <c r="E31" s="50">
        <f>'2. Účetnictví'!F37</f>
        <v>0</v>
      </c>
    </row>
    <row r="32" spans="1:5" ht="16.5" thickBot="1" x14ac:dyDescent="0.3">
      <c r="A32" s="21"/>
      <c r="B32" s="477" t="s">
        <v>17</v>
      </c>
      <c r="C32" s="478"/>
      <c r="D32" s="478"/>
      <c r="E32" s="25" t="str">
        <f>IF(AND((E30+E31)&gt;0,E29&gt;0),"Ne",(IF((ABS(E30+E31))&gt;((E29-(E30+E31))/2),"Ano","Ne")))</f>
        <v>Ne</v>
      </c>
    </row>
    <row r="34" spans="2:7" ht="51" customHeight="1" x14ac:dyDescent="0.25">
      <c r="B34" s="27" t="s">
        <v>102</v>
      </c>
      <c r="C34" s="430" t="s">
        <v>61</v>
      </c>
      <c r="D34" s="430"/>
      <c r="E34" s="28" t="s">
        <v>46</v>
      </c>
      <c r="F34" s="13"/>
    </row>
    <row r="35" spans="2:7" ht="52.15" customHeight="1" x14ac:dyDescent="0.25">
      <c r="B35" s="44" t="s">
        <v>323</v>
      </c>
      <c r="C35" s="474" t="s">
        <v>63</v>
      </c>
      <c r="D35" s="474"/>
      <c r="E35" s="54" t="str">
        <f>'2. Účetnictví'!F41</f>
        <v>Vyberte variantu</v>
      </c>
      <c r="F35" s="572" t="s">
        <v>325</v>
      </c>
      <c r="G35" s="546"/>
    </row>
    <row r="36" spans="2:7" ht="61.9" customHeight="1" thickBot="1" x14ac:dyDescent="0.3">
      <c r="B36" s="46" t="s">
        <v>324</v>
      </c>
      <c r="C36" s="573" t="s">
        <v>69</v>
      </c>
      <c r="D36" s="573"/>
      <c r="E36" s="66" t="str">
        <f>'2. Účetnictví'!F42</f>
        <v>Vyberte variantu</v>
      </c>
      <c r="F36" s="572"/>
      <c r="G36" s="546"/>
    </row>
    <row r="37" spans="2:7" ht="16.5" thickBot="1" x14ac:dyDescent="0.3">
      <c r="B37" s="574" t="s">
        <v>19</v>
      </c>
      <c r="C37" s="575"/>
      <c r="D37" s="575"/>
      <c r="E37" s="67" t="str">
        <f>IF(OR(E35="Ano",E36="Ano"),"Ano","Ne")</f>
        <v>Ne</v>
      </c>
      <c r="F37" s="43" t="s">
        <v>366</v>
      </c>
    </row>
    <row r="38" spans="2:7" ht="16.5" thickBot="1" x14ac:dyDescent="0.3">
      <c r="B38" s="12"/>
      <c r="C38" s="12"/>
      <c r="D38" s="9"/>
      <c r="E38" s="5"/>
      <c r="F38" s="13"/>
    </row>
    <row r="39" spans="2:7" ht="54" customHeight="1" x14ac:dyDescent="0.25">
      <c r="B39" s="27" t="s">
        <v>103</v>
      </c>
      <c r="C39" s="430" t="s">
        <v>61</v>
      </c>
      <c r="D39" s="430"/>
      <c r="E39" s="28" t="s">
        <v>46</v>
      </c>
      <c r="F39" s="13"/>
    </row>
    <row r="40" spans="2:7" ht="52.9" customHeight="1" x14ac:dyDescent="0.25">
      <c r="B40" s="44" t="s">
        <v>513</v>
      </c>
      <c r="C40" s="474" t="s">
        <v>69</v>
      </c>
      <c r="D40" s="474"/>
      <c r="E40" s="54" t="str">
        <f>'2. Účetnictví'!F46</f>
        <v>Vyberte variantu</v>
      </c>
      <c r="F40" s="13"/>
    </row>
    <row r="41" spans="2:7" ht="58.15" customHeight="1" x14ac:dyDescent="0.25">
      <c r="B41" s="44" t="s">
        <v>176</v>
      </c>
      <c r="C41" s="474" t="s">
        <v>69</v>
      </c>
      <c r="D41" s="474"/>
      <c r="E41" s="54" t="str">
        <f>'2. Účetnictví'!F47</f>
        <v>Vyberte variantu</v>
      </c>
      <c r="F41" s="13"/>
    </row>
    <row r="42" spans="2:7" ht="16.5" thickBot="1" x14ac:dyDescent="0.3">
      <c r="B42" s="475" t="s">
        <v>20</v>
      </c>
      <c r="C42" s="476"/>
      <c r="D42" s="476"/>
      <c r="E42" s="25" t="str">
        <f>IF(OR(E40="Ano",E41="Ano"),"Ano","Ne")</f>
        <v>Ne</v>
      </c>
      <c r="F42" s="43" t="s">
        <v>366</v>
      </c>
    </row>
    <row r="43" spans="2:7" ht="16.5" thickBot="1" x14ac:dyDescent="0.3">
      <c r="B43" s="12"/>
      <c r="C43" s="12"/>
      <c r="D43" s="9"/>
      <c r="E43" s="5"/>
      <c r="F43" s="13"/>
    </row>
    <row r="44" spans="2:7" ht="16.5" thickBot="1" x14ac:dyDescent="0.3">
      <c r="B44" s="481" t="s">
        <v>104</v>
      </c>
      <c r="C44" s="482"/>
      <c r="D44" s="483"/>
      <c r="E44" s="26" t="str">
        <f>IF(OR(D18="kritéria A,C,D,E",D18="kritéria B,C,D,E",D18="kritéria C,D,E"),"RELEVANTNÍ","NERELEVANTNÍ")</f>
        <v>NERELEVANTNÍ</v>
      </c>
      <c r="F44" s="17"/>
    </row>
    <row r="45" spans="2:7" ht="16.5" thickBot="1" x14ac:dyDescent="0.3">
      <c r="B45" s="12"/>
      <c r="C45" s="12"/>
      <c r="D45" s="9"/>
      <c r="E45" s="21"/>
      <c r="F45" s="21"/>
    </row>
    <row r="46" spans="2:7" ht="48"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302</v>
      </c>
      <c r="E48" s="49">
        <f>'2. Účetnictví'!F55</f>
        <v>0</v>
      </c>
      <c r="F48" s="50">
        <f>'2. Účetnictví'!G55</f>
        <v>0</v>
      </c>
    </row>
    <row r="49" spans="2:6" x14ac:dyDescent="0.25">
      <c r="B49" s="434" t="s">
        <v>88</v>
      </c>
      <c r="C49" s="435"/>
      <c r="D49" s="435"/>
      <c r="E49" s="6" t="str">
        <f>IF((E47)=0,"NR",(E48/E47))</f>
        <v>NR</v>
      </c>
      <c r="F49" s="7" t="str">
        <f>IF((F47)=0,"NR",(F48/F47))</f>
        <v>NR</v>
      </c>
    </row>
    <row r="50" spans="2:6" ht="16.5" thickBot="1" x14ac:dyDescent="0.3">
      <c r="B50" s="475" t="s">
        <v>22</v>
      </c>
      <c r="C50" s="476"/>
      <c r="D50" s="476"/>
      <c r="E50" s="10" t="str">
        <f>IF((E47)="0","Ano",IF((E49)&lt;0,"Chyba",IF(E49&gt;7.5,"Ano","Ne")))</f>
        <v>Ano</v>
      </c>
      <c r="F50" s="11" t="str">
        <f>IF((F47)="0","Ano",IF((F49)&lt;0,"Chyba",IF(F49&gt;7.5,"Ano","Ne")))</f>
        <v>Ano</v>
      </c>
    </row>
    <row r="51" spans="2:6" ht="16.5" thickBot="1" x14ac:dyDescent="0.3">
      <c r="B51" s="12"/>
      <c r="C51" s="12"/>
      <c r="D51" s="9"/>
      <c r="E51" s="21"/>
      <c r="F51" s="21"/>
    </row>
    <row r="52" spans="2:6" ht="50.45"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303</v>
      </c>
      <c r="E54" s="49">
        <f>'2. Účetnictví'!F62</f>
        <v>0</v>
      </c>
      <c r="F54" s="50">
        <f>'2. Účetnictví'!G62</f>
        <v>0</v>
      </c>
    </row>
    <row r="55" spans="2:6" ht="28.5" x14ac:dyDescent="0.25">
      <c r="B55" s="18" t="s">
        <v>27</v>
      </c>
      <c r="C55" s="19" t="s">
        <v>50</v>
      </c>
      <c r="D55" s="19" t="s">
        <v>304</v>
      </c>
      <c r="E55" s="49">
        <f>'2. Účetnictví'!F63</f>
        <v>0</v>
      </c>
      <c r="F55" s="50">
        <f>'2. Účetnictví'!G63</f>
        <v>0</v>
      </c>
    </row>
    <row r="56" spans="2:6" x14ac:dyDescent="0.25">
      <c r="B56" s="434" t="s">
        <v>89</v>
      </c>
      <c r="C56" s="435"/>
      <c r="D56" s="435"/>
      <c r="E56" s="6" t="str">
        <f>IF(E54=0,"NR",(E53+E54+E55)/E54)</f>
        <v>NR</v>
      </c>
      <c r="F56" s="7" t="str">
        <f>IF(F54=0,"NR",(F53+F54+F55)/F54)</f>
        <v>NR</v>
      </c>
    </row>
    <row r="57" spans="2:6" ht="16.5" thickBot="1" x14ac:dyDescent="0.3">
      <c r="B57" s="475" t="s">
        <v>107</v>
      </c>
      <c r="C57" s="476"/>
      <c r="D57" s="476"/>
      <c r="E57" s="10" t="str">
        <f>IF((E56)="NR","NR",IF((E56)&lt;1,"Ano","Ne"))</f>
        <v>NR</v>
      </c>
      <c r="F57" s="11" t="str">
        <f>IF((F56)="NR","NR",IF((F56)&lt;1,"Ano","Ne"))</f>
        <v>NR</v>
      </c>
    </row>
    <row r="58" spans="2:6" ht="16.5" thickBot="1" x14ac:dyDescent="0.3">
      <c r="B58" s="12"/>
      <c r="C58" s="12"/>
      <c r="D58" s="9"/>
      <c r="E58" s="5"/>
      <c r="F58" s="13"/>
    </row>
    <row r="59" spans="2:6" ht="16.5" thickBot="1" x14ac:dyDescent="0.3">
      <c r="B59" s="495" t="s">
        <v>29</v>
      </c>
      <c r="C59" s="496"/>
      <c r="D59" s="497"/>
      <c r="E59" s="14" t="str">
        <f>IF(AND(E50="ANO",F50="Ano",E57="Ano",F57="Ano"),"Ano","Ne")</f>
        <v>Ne</v>
      </c>
      <c r="F59" s="43" t="s">
        <v>366</v>
      </c>
    </row>
    <row r="60" spans="2:6" ht="16.5" thickBot="1" x14ac:dyDescent="0.3">
      <c r="B60" s="12"/>
      <c r="C60" s="12"/>
      <c r="D60" s="9"/>
      <c r="E60" s="5"/>
      <c r="F60" s="13"/>
    </row>
    <row r="61" spans="2:6" ht="16.5" thickBot="1" x14ac:dyDescent="0.3">
      <c r="B61" s="492" t="s">
        <v>108</v>
      </c>
      <c r="C61" s="493"/>
      <c r="D61" s="494"/>
      <c r="E61" s="16" t="str">
        <f>IF(OR(E25="ANO",E32="Ano",E37="Ano",E42="Ano",E59="Ano"),"Ano","Ne")</f>
        <v>Ne</v>
      </c>
      <c r="F61" s="55"/>
    </row>
  </sheetData>
  <sheetProtection algorithmName="SHA-512" hashValue="S7eVXUXH+tYvfObTSepwlqBlLTwGkIFLO5uAJTjE1xArQaf4bZIRb0BD7SZsdQt2chBRMgr5gtPAuYyxFOyf4A==" saltValue="u+Z9pyrR5xSmXBUKfn+am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82" priority="29" operator="beginsWith" text="RE">
      <formula>LEFT(A1,LEN("RE"))="RE"</formula>
    </cfRule>
    <cfRule type="containsText" dxfId="181" priority="30" operator="containsText" text="&quot;RELEVANTNÍ&quot;">
      <formula>NOT(ISERROR(SEARCH("""RELEVANTNÍ""",A1)))</formula>
    </cfRule>
  </conditionalFormatting>
  <conditionalFormatting sqref="A23:A33 A35:A38">
    <cfRule type="beginsWith" dxfId="180" priority="40" operator="beginsWith" text="RE">
      <formula>LEFT(A23,LEN("RE"))="RE"</formula>
    </cfRule>
    <cfRule type="containsText" dxfId="179" priority="41" operator="containsText" text="&quot;RELEVANTNÍ&quot;">
      <formula>NOT(ISERROR(SEARCH("""RELEVANTNÍ""",A23)))</formula>
    </cfRule>
  </conditionalFormatting>
  <conditionalFormatting sqref="A40:A61">
    <cfRule type="beginsWith" dxfId="178" priority="18" operator="beginsWith" text="RE">
      <formula>LEFT(A40,LEN("RE"))="RE"</formula>
    </cfRule>
    <cfRule type="containsText" dxfId="177" priority="19" operator="containsText" text="&quot;RELEVANTNÍ&quot;">
      <formula>NOT(ISERROR(SEARCH("""RELEVANTNÍ""",A40)))</formula>
    </cfRule>
  </conditionalFormatting>
  <conditionalFormatting sqref="E21">
    <cfRule type="beginsWith" dxfId="176" priority="10" operator="beginsWith" text="RE">
      <formula>LEFT(E21,LEN("RE"))="RE"</formula>
    </cfRule>
  </conditionalFormatting>
  <conditionalFormatting sqref="E22:E24">
    <cfRule type="expression" dxfId="175" priority="28">
      <formula>$E$20="NERELEVANTNÍ"</formula>
    </cfRule>
  </conditionalFormatting>
  <conditionalFormatting sqref="E25">
    <cfRule type="containsText" dxfId="174" priority="42" operator="containsText" text="Ne">
      <formula>NOT(ISERROR(SEARCH("Ne",E25)))</formula>
    </cfRule>
    <cfRule type="containsText" dxfId="173" priority="43" operator="containsText" text="Ano">
      <formula>NOT(ISERROR(SEARCH("Ano",E25)))</formula>
    </cfRule>
  </conditionalFormatting>
  <conditionalFormatting sqref="E28">
    <cfRule type="beginsWith" dxfId="172" priority="9" operator="beginsWith" text="RE">
      <formula>LEFT(E28,LEN("RE"))="RE"</formula>
    </cfRule>
  </conditionalFormatting>
  <conditionalFormatting sqref="E29:E31">
    <cfRule type="expression" dxfId="171" priority="26">
      <formula>$E$27="NERELEVANTNÍ"</formula>
    </cfRule>
  </conditionalFormatting>
  <conditionalFormatting sqref="E30:E31">
    <cfRule type="beginsWith" dxfId="170" priority="27" operator="beginsWith" text="RE">
      <formula>LEFT(E30,LEN("RE"))="RE"</formula>
    </cfRule>
  </conditionalFormatting>
  <conditionalFormatting sqref="E32 E37 E42 E59 E61">
    <cfRule type="containsText" dxfId="169" priority="45" operator="containsText" text="Ano">
      <formula>NOT(ISERROR(SEARCH("Ano",E32)))</formula>
    </cfRule>
  </conditionalFormatting>
  <conditionalFormatting sqref="E32 E42 E37 E59 E61">
    <cfRule type="containsText" dxfId="168" priority="44" operator="containsText" text="Ne">
      <formula>NOT(ISERROR(SEARCH("Ne",E32)))</formula>
    </cfRule>
  </conditionalFormatting>
  <conditionalFormatting sqref="E14:F15">
    <cfRule type="beginsWith" dxfId="167" priority="15" operator="beginsWith" text="RE">
      <formula>LEFT(E14,LEN("RE"))="RE"</formula>
    </cfRule>
  </conditionalFormatting>
  <conditionalFormatting sqref="E23:F27 E1:F9 E17:F17 E18 E19:F20 F21:F22 F28:F31 E32:F34 E42">
    <cfRule type="beginsWith" dxfId="166" priority="39" operator="beginsWith" text="RE">
      <formula>LEFT(E1,LEN("RE"))="RE"</formula>
    </cfRule>
  </conditionalFormatting>
  <conditionalFormatting sqref="E37:F39">
    <cfRule type="beginsWith" dxfId="165" priority="4" operator="beginsWith" text="RE">
      <formula>LEFT(E37,LEN("RE"))="RE"</formula>
    </cfRule>
  </conditionalFormatting>
  <conditionalFormatting sqref="E43:F46">
    <cfRule type="beginsWith" dxfId="164" priority="8" operator="beginsWith" text="RE">
      <formula>LEFT(E43,LEN("RE"))="RE"</formula>
    </cfRule>
  </conditionalFormatting>
  <conditionalFormatting sqref="E47:F48">
    <cfRule type="expression" dxfId="163" priority="22">
      <formula>$E$44="NERELEVANTNÍ"</formula>
    </cfRule>
  </conditionalFormatting>
  <conditionalFormatting sqref="E48:F48">
    <cfRule type="beginsWith" dxfId="162" priority="23" operator="beginsWith" text="RE">
      <formula>LEFT(E48,LEN("RE"))="RE"</formula>
    </cfRule>
  </conditionalFormatting>
  <conditionalFormatting sqref="E49:F52">
    <cfRule type="beginsWith" dxfId="161" priority="7" operator="beginsWith" text="RE">
      <formula>LEFT(E49,LEN("RE"))="RE"</formula>
    </cfRule>
  </conditionalFormatting>
  <conditionalFormatting sqref="E53:F55">
    <cfRule type="expression" dxfId="160" priority="20">
      <formula>$E$44="NERELEVANTNÍ"</formula>
    </cfRule>
  </conditionalFormatting>
  <conditionalFormatting sqref="E54:F54">
    <cfRule type="beginsWith" dxfId="159" priority="21" operator="beginsWith" text="RE">
      <formula>LEFT(E54,LEN("RE"))="RE"</formula>
    </cfRule>
  </conditionalFormatting>
  <conditionalFormatting sqref="E56:F61">
    <cfRule type="beginsWith" dxfId="158" priority="1" operator="beginsWith" text="RE">
      <formula>LEFT(E56,LEN("RE"))="RE"</formula>
    </cfRule>
  </conditionalFormatting>
  <conditionalFormatting sqref="F35">
    <cfRule type="beginsWith" dxfId="157" priority="5" operator="beginsWith" text="RE">
      <formula>LEFT(F35,LEN("RE"))="RE"</formula>
    </cfRule>
  </conditionalFormatting>
  <conditionalFormatting sqref="F40:F42">
    <cfRule type="beginsWith" dxfId="156"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'typy žadatelů'!$D$10:$D$26</xm:f>
          </x14:formula1>
          <xm:sqref>D14:F14</xm:sqref>
        </x14:dataValidation>
        <x14:dataValidation type="list" allowBlank="1" showInputMessage="1" showErrorMessage="1" xr:uid="{00000000-0002-0000-0900-000001000000}">
          <x14:formula1>
            <xm:f>'typy žadatelů'!$B$78:$B$80</xm:f>
          </x14:formula1>
          <xm:sqref>D15:F15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7</vt:i4>
      </vt:variant>
    </vt:vector>
  </HeadingPairs>
  <TitlesOfParts>
    <vt:vector size="22" baseType="lpstr">
      <vt:lpstr>1. PŘEHLED</vt:lpstr>
      <vt:lpstr>2. Účetnictví</vt:lpstr>
      <vt:lpstr>2. Jednoduché účetnictví </vt:lpstr>
      <vt:lpstr>2. Daňová evidence</vt:lpstr>
      <vt:lpstr>2. Paušální (výdaje, daň)</vt:lpstr>
      <vt:lpstr>Veřejný subjekt (410) </vt:lpstr>
      <vt:lpstr>Podnikatel (500)</vt:lpstr>
      <vt:lpstr>Banky a fin. instituce (501)</vt:lpstr>
      <vt:lpstr>Pojišťovny (502)</vt:lpstr>
      <vt:lpstr>Zdrav pojišťovny (503)</vt:lpstr>
      <vt:lpstr>typy žadatelů</vt:lpstr>
      <vt:lpstr>Nepodnikatel (504)</vt:lpstr>
      <vt:lpstr>3. Skupina podniků</vt:lpstr>
      <vt:lpstr>Výpočty</vt:lpstr>
      <vt:lpstr>INFORMACE</vt:lpstr>
      <vt:lpstr>'1. PŘEHLED'!Oblast_tisku</vt:lpstr>
      <vt:lpstr>'2. Daňová evidence'!Oblast_tisku</vt:lpstr>
      <vt:lpstr>'2. Jednoduché účetnictví '!Oblast_tisku</vt:lpstr>
      <vt:lpstr>'2. Paušální (výdaje, daň)'!Oblast_tisku</vt:lpstr>
      <vt:lpstr>'2. Účetnictví'!Oblast_tisku</vt:lpstr>
      <vt:lpstr>'3. Skupina podniků'!Oblast_tisku</vt:lpstr>
      <vt:lpstr>Právní_forma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Anděrová Martina</dc:creator>
  <cp:keywords/>
  <dc:description/>
  <cp:lastModifiedBy>Řípa Martin Ing.</cp:lastModifiedBy>
  <cp:lastPrinted>2025-02-12T11:49:34Z</cp:lastPrinted>
  <dcterms:created xsi:type="dcterms:W3CDTF">2018-08-17T12:31:45Z</dcterms:created>
  <dcterms:modified xsi:type="dcterms:W3CDTF">2025-02-27T12:45:33Z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 BARCODE">
    <vt:lpwstr>*000000000*</vt:lpwstr>
  </property>
  <property fmtid="{D5CDD505-2E9C-101B-9397-08002B2CF9AE}" pid="3" name="IX_DOC_TYPE">
    <vt:lpwstr>F825</vt:lpwstr>
  </property>
  <property fmtid="{D5CDD505-2E9C-101B-9397-08002B2CF9AE}" pid="4" name="IX_ENVIRONMENT">
    <vt:lpwstr>PRODUKCE</vt:lpwstr>
  </property>
  <property fmtid="{D5CDD505-2E9C-101B-9397-08002B2CF9AE}" pid="5" name="MSIP_Label_8310de75-5a0d-4392-bbb6-59aa8e061af6_Enabled">
    <vt:lpwstr>true</vt:lpwstr>
  </property>
  <property fmtid="{D5CDD505-2E9C-101B-9397-08002B2CF9AE}" pid="6" name="MSIP_Label_8310de75-5a0d-4392-bbb6-59aa8e061af6_SetDate">
    <vt:lpwstr>2025-02-12T12:20:54Z</vt:lpwstr>
  </property>
  <property fmtid="{D5CDD505-2E9C-101B-9397-08002B2CF9AE}" pid="7" name="MSIP_Label_8310de75-5a0d-4392-bbb6-59aa8e061af6_Method">
    <vt:lpwstr>Privileged</vt:lpwstr>
  </property>
  <property fmtid="{D5CDD505-2E9C-101B-9397-08002B2CF9AE}" pid="8" name="MSIP_Label_8310de75-5a0d-4392-bbb6-59aa8e061af6_Name">
    <vt:lpwstr>Veřejná informace</vt:lpwstr>
  </property>
  <property fmtid="{D5CDD505-2E9C-101B-9397-08002B2CF9AE}" pid="9" name="MSIP_Label_8310de75-5a0d-4392-bbb6-59aa8e061af6_SiteId">
    <vt:lpwstr>4d1a3907-6ad7-4739-80b5-b7ed4066a30b</vt:lpwstr>
  </property>
  <property fmtid="{D5CDD505-2E9C-101B-9397-08002B2CF9AE}" pid="10" name="MSIP_Label_8310de75-5a0d-4392-bbb6-59aa8e061af6_ActionId">
    <vt:lpwstr>c204d54f-85d1-4201-89af-04d15e4f1181</vt:lpwstr>
  </property>
  <property fmtid="{D5CDD505-2E9C-101B-9397-08002B2CF9AE}" pid="11" name="MSIP_Label_8310de75-5a0d-4392-bbb6-59aa8e061af6_ContentBits">
    <vt:lpwstr>0</vt:lpwstr>
  </property>
  <property fmtid="{D5CDD505-2E9C-101B-9397-08002B2CF9AE}" pid="12" name="MSIP_Label_8310de75-5a0d-4392-bbb6-59aa8e061af6_Tag">
    <vt:lpwstr>10, 0, 1, 1</vt:lpwstr>
  </property>
</Properties>
</file>