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D:\Users\RIPA\Desktop\K NASAZENÍ\Konečná varianta PvO\"/>
    </mc:Choice>
  </mc:AlternateContent>
  <xr:revisionPtr revIDLastSave="0" documentId="13_ncr:1_{ABCDB79A-1F14-45B1-9E7F-4A5A12052E2D}" xr6:coauthVersionLast="47" xr6:coauthVersionMax="47" xr10:uidLastSave="{00000000-0000-0000-0000-000000000000}"/>
  <workbookProtection workbookAlgorithmName="SHA-512" workbookHashValue="YJAJwrtV3gkXgT3C1KwP3bzn62j0Y+VCUTluw+wp/hfHbpOrrEHY5jRYIZ5QSuQ25r1+yF4ET18vhcih7yynWg==" workbookSaltValue="XfPsZAz4oy2SLekBRF0avg==" workbookSpinCount="100000" lockStructure="1"/>
  <bookViews>
    <workbookView xWindow="-28920" yWindow="-120" windowWidth="29040" windowHeight="15840" tabRatio="688" xr2:uid="{00000000-000D-0000-FFFF-FFFF00000000}"/>
  </bookViews>
  <sheets>
    <sheet name="1. PŘEHLED" sheetId="3" r:id="rId1"/>
    <sheet name="2. Účetnictví" sheetId="28" r:id="rId2"/>
    <sheet name="2. Jednoduché účetnictví " sheetId="15" r:id="rId3"/>
    <sheet name="2. Daňová evidence" sheetId="34" r:id="rId4"/>
    <sheet name="2. Paušální (výdaje, daň)" sheetId="35" r:id="rId5"/>
    <sheet name="Veřejný subjekt (410) " sheetId="19" state="hidden" r:id="rId6"/>
    <sheet name="Podnikatel (500)" sheetId="6" state="hidden" r:id="rId7"/>
    <sheet name="Banky a fin. instituce (501)" sheetId="31" state="hidden" r:id="rId8"/>
    <sheet name="Pojišťovny (502)" sheetId="32" state="hidden" r:id="rId9"/>
    <sheet name="Zdrav pojišťovny (503)" sheetId="33" state="hidden" r:id="rId10"/>
    <sheet name="typy žadatelů" sheetId="2" state="hidden" r:id="rId11"/>
    <sheet name="Nepodnikatel (504)" sheetId="8" state="hidden" r:id="rId12"/>
    <sheet name="3. Skupina podniků" sheetId="25" r:id="rId13"/>
    <sheet name="INFORMACE" sheetId="12" r:id="rId14"/>
    <sheet name="Výpočty" sheetId="26" state="hidden" r:id="rId15"/>
  </sheets>
  <definedNames>
    <definedName name="_xlnm._FilterDatabase" localSheetId="10" hidden="1">'typy žadatelů'!#REF!</definedName>
    <definedName name="KaR" localSheetId="2">#REF!</definedName>
    <definedName name="KaR" localSheetId="12">#REF!</definedName>
    <definedName name="KaR">#REF!</definedName>
    <definedName name="NS" localSheetId="2">#REF!</definedName>
    <definedName name="NS" localSheetId="12">#REF!</definedName>
    <definedName name="NS">#REF!</definedName>
    <definedName name="_xlnm.Print_Area" localSheetId="0">'1. PŘEHLED'!$B$30:$L$51</definedName>
    <definedName name="_xlnm.Print_Area" localSheetId="3">'2. Daňová evidence'!$A$2:$H$58</definedName>
    <definedName name="_xlnm.Print_Area" localSheetId="2">'2. Jednoduché účetnictví '!$A$2:$H$58</definedName>
    <definedName name="_xlnm.Print_Area" localSheetId="4">'2. Paušální (výdaje, daň)'!$A$2:$H$58</definedName>
    <definedName name="_xlnm.Print_Area" localSheetId="1">'2. Účetnictví'!$A$2:$H$71</definedName>
    <definedName name="_xlnm.Print_Area" localSheetId="12">'3. Skupina podniků'!$A$2:$N$181</definedName>
    <definedName name="Právní_forma">'typy žadatelů'!$B$3:$B$76</definedName>
    <definedName name="Skupina" localSheetId="2">#REF!</definedName>
    <definedName name="Skupina" localSheetId="12">#REF!</definedName>
    <definedName name="Skupina">#REF!</definedName>
    <definedName name="Záchrana" localSheetId="2">#REF!</definedName>
    <definedName name="Záchrana" localSheetId="12">#REF!</definedName>
    <definedName name="Záchrana">#REF!</definedName>
    <definedName name="Zriaďovateľ" localSheetId="2">#REF!</definedName>
    <definedName name="Zriaďovateľ" localSheetId="12">#REF!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5" l="1"/>
  <c r="B125" i="25"/>
  <c r="B124" i="25"/>
  <c r="B123" i="25"/>
  <c r="B122" i="25"/>
  <c r="B121" i="25"/>
  <c r="B120" i="25"/>
  <c r="B119" i="25"/>
  <c r="B118" i="25"/>
  <c r="B117" i="25"/>
  <c r="B116" i="25"/>
  <c r="B92" i="25"/>
  <c r="B91" i="25"/>
  <c r="B90" i="25"/>
  <c r="B89" i="25"/>
  <c r="B88" i="25"/>
  <c r="B87" i="25"/>
  <c r="B86" i="25"/>
  <c r="B85" i="25"/>
  <c r="B84" i="25"/>
  <c r="B83" i="25"/>
  <c r="B49" i="25"/>
  <c r="B58" i="25"/>
  <c r="B57" i="25"/>
  <c r="B56" i="25"/>
  <c r="B55" i="25"/>
  <c r="B54" i="25"/>
  <c r="B52" i="25"/>
  <c r="B51" i="25"/>
  <c r="B50" i="25"/>
  <c r="B53" i="25"/>
  <c r="D96" i="25"/>
  <c r="D97" i="25"/>
  <c r="C29" i="25"/>
  <c r="B24" i="25"/>
  <c r="F155" i="25"/>
  <c r="E155" i="25" s="1"/>
  <c r="F154" i="25"/>
  <c r="E154" i="25" s="1"/>
  <c r="F150" i="25"/>
  <c r="E150" i="25" s="1"/>
  <c r="F149" i="25"/>
  <c r="E149" i="25" s="1"/>
  <c r="AK155" i="25"/>
  <c r="AK154" i="25"/>
  <c r="AK150" i="25"/>
  <c r="AK149" i="25"/>
  <c r="C117" i="25"/>
  <c r="C50" i="25"/>
  <c r="C84" i="25"/>
  <c r="M126" i="25"/>
  <c r="L126" i="25"/>
  <c r="K126" i="25"/>
  <c r="J126" i="25"/>
  <c r="E126" i="25"/>
  <c r="M111" i="25"/>
  <c r="L111" i="25"/>
  <c r="K111" i="25"/>
  <c r="J111" i="25"/>
  <c r="E111" i="25"/>
  <c r="M93" i="25"/>
  <c r="L93" i="25"/>
  <c r="K93" i="25"/>
  <c r="J93" i="25"/>
  <c r="E93" i="25"/>
  <c r="M78" i="25"/>
  <c r="L78" i="25"/>
  <c r="K78" i="25"/>
  <c r="J78" i="25"/>
  <c r="I78" i="25"/>
  <c r="H78" i="25"/>
  <c r="E78" i="25"/>
  <c r="M59" i="25"/>
  <c r="L59" i="25"/>
  <c r="K59" i="25"/>
  <c r="J59" i="25"/>
  <c r="E59" i="25"/>
  <c r="M44" i="25"/>
  <c r="L44" i="25"/>
  <c r="K44" i="25"/>
  <c r="J44" i="25"/>
  <c r="G44" i="25"/>
  <c r="F44" i="25"/>
  <c r="E44" i="25"/>
  <c r="C64" i="25"/>
  <c r="C63" i="25"/>
  <c r="C62" i="25"/>
  <c r="B96" i="26"/>
  <c r="C96" i="26" s="1"/>
  <c r="B83" i="26"/>
  <c r="C83" i="26" s="1"/>
  <c r="E96" i="26" l="1"/>
  <c r="D96" i="26"/>
  <c r="E10" i="35" s="1"/>
  <c r="D83" i="26"/>
  <c r="E10" i="34" s="1"/>
  <c r="E83" i="26"/>
  <c r="B70" i="26"/>
  <c r="C70" i="26" s="1"/>
  <c r="C83" i="25"/>
  <c r="P103" i="25"/>
  <c r="P104" i="25"/>
  <c r="P106" i="25"/>
  <c r="P107" i="25"/>
  <c r="P108" i="25"/>
  <c r="P109" i="25"/>
  <c r="P110" i="25"/>
  <c r="P101" i="25"/>
  <c r="O102" i="25"/>
  <c r="P102" i="25" s="1"/>
  <c r="O103" i="25"/>
  <c r="O104" i="25"/>
  <c r="O105" i="25"/>
  <c r="P105" i="25" s="1"/>
  <c r="O106" i="25"/>
  <c r="O107" i="25"/>
  <c r="O108" i="25"/>
  <c r="O109" i="25"/>
  <c r="O110" i="25"/>
  <c r="O101" i="25"/>
  <c r="O68" i="25"/>
  <c r="P68" i="25" s="1"/>
  <c r="P69" i="25"/>
  <c r="P70" i="25"/>
  <c r="P71" i="25"/>
  <c r="P72" i="25"/>
  <c r="P73" i="25"/>
  <c r="P74" i="25"/>
  <c r="P75" i="25"/>
  <c r="P76" i="25"/>
  <c r="P77" i="25"/>
  <c r="O69" i="25"/>
  <c r="O70" i="25"/>
  <c r="O71" i="25"/>
  <c r="O72" i="25"/>
  <c r="O73" i="25"/>
  <c r="O74" i="25"/>
  <c r="O75" i="25"/>
  <c r="O76" i="25"/>
  <c r="O77" i="25"/>
  <c r="O34" i="25"/>
  <c r="P34" i="25" s="1"/>
  <c r="O35" i="25"/>
  <c r="P35" i="25" s="1"/>
  <c r="O36" i="25"/>
  <c r="P36" i="25" s="1"/>
  <c r="O37" i="25"/>
  <c r="P37" i="25" s="1"/>
  <c r="O38" i="25"/>
  <c r="P38" i="25" s="1"/>
  <c r="O39" i="25"/>
  <c r="P39" i="25" s="1"/>
  <c r="O40" i="25"/>
  <c r="P40" i="25" s="1"/>
  <c r="O41" i="25"/>
  <c r="P41" i="25" s="1"/>
  <c r="O42" i="25"/>
  <c r="P42" i="25" s="1"/>
  <c r="O43" i="25"/>
  <c r="P43" i="25" s="1"/>
  <c r="C85" i="25"/>
  <c r="C86" i="25"/>
  <c r="C87" i="25"/>
  <c r="C88" i="25"/>
  <c r="C89" i="25"/>
  <c r="C90" i="25"/>
  <c r="C91" i="25"/>
  <c r="C92" i="25"/>
  <c r="C49" i="25"/>
  <c r="C52" i="25"/>
  <c r="C53" i="25"/>
  <c r="C54" i="25"/>
  <c r="C55" i="25"/>
  <c r="C56" i="25"/>
  <c r="C57" i="25"/>
  <c r="C58" i="25"/>
  <c r="I11" i="35" l="1"/>
  <c r="E11" i="35" s="1"/>
  <c r="I42" i="35" s="1"/>
  <c r="G42" i="35" s="1"/>
  <c r="G49" i="35" s="1"/>
  <c r="K23" i="26"/>
  <c r="K24" i="26" s="1"/>
  <c r="I11" i="34"/>
  <c r="J23" i="26"/>
  <c r="J24" i="26" s="1"/>
  <c r="B104" i="26"/>
  <c r="B9" i="35" s="1"/>
  <c r="B103" i="26"/>
  <c r="B8" i="35" s="1"/>
  <c r="B91" i="26"/>
  <c r="B9" i="34" s="1"/>
  <c r="B90" i="26"/>
  <c r="B8" i="34" s="1"/>
  <c r="E70" i="26"/>
  <c r="D70" i="26"/>
  <c r="P111" i="25"/>
  <c r="C112" i="25" s="1"/>
  <c r="P78" i="25"/>
  <c r="C79" i="25" s="1"/>
  <c r="P44" i="25"/>
  <c r="C45" i="25" s="1"/>
  <c r="C51" i="25"/>
  <c r="C116" i="25"/>
  <c r="E11" i="34" l="1"/>
  <c r="I42" i="34" s="1"/>
  <c r="G42" i="34" s="1"/>
  <c r="G49" i="34" s="1"/>
  <c r="F42" i="35"/>
  <c r="F49" i="35" s="1"/>
  <c r="F23" i="35"/>
  <c r="E10" i="15"/>
  <c r="B77" i="26"/>
  <c r="B8" i="15" s="1"/>
  <c r="B78" i="26"/>
  <c r="B9" i="15" s="1"/>
  <c r="F37" i="15"/>
  <c r="T13" i="25"/>
  <c r="B31" i="25" s="1"/>
  <c r="B22" i="25"/>
  <c r="B20" i="25"/>
  <c r="E48" i="25"/>
  <c r="W104" i="25"/>
  <c r="V102" i="25"/>
  <c r="V103" i="25"/>
  <c r="V104" i="25"/>
  <c r="V105" i="25"/>
  <c r="V106" i="25"/>
  <c r="V107" i="25"/>
  <c r="V108" i="25"/>
  <c r="V109" i="25"/>
  <c r="V110" i="25"/>
  <c r="V101" i="25"/>
  <c r="V77" i="25"/>
  <c r="V69" i="25"/>
  <c r="V70" i="25"/>
  <c r="V71" i="25"/>
  <c r="V72" i="25"/>
  <c r="V73" i="25"/>
  <c r="V74" i="25"/>
  <c r="V75" i="25"/>
  <c r="V76" i="25"/>
  <c r="V68" i="25"/>
  <c r="V35" i="25"/>
  <c r="V36" i="25"/>
  <c r="V37" i="25"/>
  <c r="V38" i="25"/>
  <c r="V39" i="25"/>
  <c r="V40" i="25"/>
  <c r="V41" i="25"/>
  <c r="V42" i="25"/>
  <c r="V43" i="25"/>
  <c r="V34" i="25"/>
  <c r="B70" i="28"/>
  <c r="H15" i="28"/>
  <c r="F23" i="34" l="1"/>
  <c r="F42" i="34"/>
  <c r="F49" i="34" s="1"/>
  <c r="I11" i="15"/>
  <c r="E11" i="15" s="1"/>
  <c r="I42" i="15" s="1"/>
  <c r="G42" i="15" s="1"/>
  <c r="I23" i="26"/>
  <c r="I24" i="26" s="1"/>
  <c r="E151" i="25"/>
  <c r="E156" i="25"/>
  <c r="B98" i="25"/>
  <c r="B65" i="25"/>
  <c r="T111" i="25"/>
  <c r="T78" i="25"/>
  <c r="T44" i="25"/>
  <c r="G49" i="15" l="1"/>
  <c r="F42" i="15"/>
  <c r="F49" i="15" s="1"/>
  <c r="F23" i="15"/>
  <c r="C125" i="25" l="1"/>
  <c r="C124" i="25"/>
  <c r="C123" i="25"/>
  <c r="C122" i="25"/>
  <c r="C121" i="25"/>
  <c r="C120" i="25"/>
  <c r="C119" i="25"/>
  <c r="C118" i="25"/>
  <c r="E138" i="25" l="1"/>
  <c r="E137" i="25"/>
  <c r="E136" i="25"/>
  <c r="E139" i="25" l="1"/>
  <c r="B50" i="26"/>
  <c r="C50" i="26" s="1"/>
  <c r="D50" i="26" l="1"/>
  <c r="E11" i="28" s="1"/>
  <c r="E50" i="26"/>
  <c r="C46" i="26"/>
  <c r="C45" i="26"/>
  <c r="I12" i="28" l="1"/>
  <c r="E12" i="28" s="1"/>
  <c r="I53" i="28" s="1"/>
  <c r="H23" i="26"/>
  <c r="H24" i="26" s="1"/>
  <c r="L22" i="26" s="1"/>
  <c r="E8" i="25" s="1"/>
  <c r="B61" i="26" s="1"/>
  <c r="B62" i="26" s="1"/>
  <c r="C63" i="26" s="1"/>
  <c r="D46" i="26"/>
  <c r="D13" i="33" s="1"/>
  <c r="B57" i="26"/>
  <c r="B9" i="28" s="1"/>
  <c r="B58" i="26"/>
  <c r="B10" i="28" s="1"/>
  <c r="E12" i="25"/>
  <c r="D132" i="25" s="1"/>
  <c r="G53" i="28" l="1"/>
  <c r="F53" i="28"/>
  <c r="F60" i="28" s="1"/>
  <c r="F27" i="28"/>
  <c r="F34" i="28"/>
  <c r="E158" i="25"/>
  <c r="F158" i="25" s="1"/>
  <c r="E134" i="25"/>
  <c r="E141" i="25"/>
  <c r="D13" i="6"/>
  <c r="D13" i="32"/>
  <c r="D13" i="31"/>
  <c r="D13" i="19"/>
  <c r="D13" i="8"/>
  <c r="B46" i="25"/>
  <c r="K17" i="26"/>
  <c r="J17" i="26"/>
  <c r="H17" i="26"/>
  <c r="K11" i="26"/>
  <c r="J11" i="26"/>
  <c r="I11" i="26"/>
  <c r="H11" i="26"/>
  <c r="K5" i="26"/>
  <c r="J5" i="26"/>
  <c r="I5" i="26"/>
  <c r="H5" i="26"/>
  <c r="G60" i="28" l="1"/>
  <c r="W133" i="25"/>
  <c r="E41" i="8"/>
  <c r="E40" i="8"/>
  <c r="E36" i="8"/>
  <c r="E35" i="8"/>
  <c r="E41" i="33"/>
  <c r="E40" i="33"/>
  <c r="E36" i="33"/>
  <c r="E35" i="33"/>
  <c r="E41" i="32"/>
  <c r="E40" i="32"/>
  <c r="E36" i="32"/>
  <c r="E35" i="32"/>
  <c r="E41" i="31"/>
  <c r="E40" i="31"/>
  <c r="E36" i="31"/>
  <c r="E35" i="31"/>
  <c r="E41" i="19"/>
  <c r="E40" i="19"/>
  <c r="E36" i="19"/>
  <c r="E35" i="19"/>
  <c r="E41" i="6"/>
  <c r="E40" i="6"/>
  <c r="E36" i="6"/>
  <c r="E35" i="6"/>
  <c r="D8" i="19"/>
  <c r="D7" i="19"/>
  <c r="D6" i="19"/>
  <c r="D4" i="19"/>
  <c r="D8" i="6"/>
  <c r="D7" i="6"/>
  <c r="D6" i="6"/>
  <c r="D4" i="6"/>
  <c r="D8" i="31"/>
  <c r="D7" i="31"/>
  <c r="D6" i="31"/>
  <c r="D4" i="31"/>
  <c r="D8" i="32"/>
  <c r="D7" i="32"/>
  <c r="D6" i="32"/>
  <c r="D4" i="32"/>
  <c r="D8" i="33"/>
  <c r="D7" i="33"/>
  <c r="D6" i="33"/>
  <c r="D4" i="33"/>
  <c r="D8" i="8"/>
  <c r="D7" i="8"/>
  <c r="D6" i="8"/>
  <c r="D4" i="8"/>
  <c r="F55" i="8"/>
  <c r="F54" i="8"/>
  <c r="F53" i="8"/>
  <c r="F48" i="8"/>
  <c r="F47" i="8"/>
  <c r="E55" i="8"/>
  <c r="E54" i="8"/>
  <c r="E53" i="8"/>
  <c r="E48" i="8"/>
  <c r="E47" i="8"/>
  <c r="E31" i="8"/>
  <c r="E30" i="8"/>
  <c r="E29" i="8"/>
  <c r="F55" i="33"/>
  <c r="F54" i="33"/>
  <c r="F53" i="33"/>
  <c r="F48" i="33"/>
  <c r="F47" i="33"/>
  <c r="E55" i="33"/>
  <c r="E54" i="33"/>
  <c r="E53" i="33"/>
  <c r="E48" i="33"/>
  <c r="E47" i="33"/>
  <c r="E31" i="33"/>
  <c r="E30" i="33"/>
  <c r="E29" i="33"/>
  <c r="F55" i="32"/>
  <c r="F54" i="32"/>
  <c r="F53" i="32"/>
  <c r="F48" i="32"/>
  <c r="F47" i="32"/>
  <c r="E55" i="32"/>
  <c r="E54" i="32"/>
  <c r="E53" i="32"/>
  <c r="E48" i="32"/>
  <c r="E47" i="32"/>
  <c r="E31" i="32"/>
  <c r="E30" i="32"/>
  <c r="E29" i="32"/>
  <c r="F55" i="31"/>
  <c r="F54" i="31"/>
  <c r="F53" i="31"/>
  <c r="F48" i="31"/>
  <c r="F47" i="31"/>
  <c r="E55" i="31"/>
  <c r="E54" i="31"/>
  <c r="E53" i="31"/>
  <c r="E48" i="31"/>
  <c r="E47" i="31"/>
  <c r="E31" i="31"/>
  <c r="E30" i="31"/>
  <c r="E29" i="31"/>
  <c r="F55" i="19"/>
  <c r="F54" i="19"/>
  <c r="F53" i="19"/>
  <c r="F48" i="19"/>
  <c r="F47" i="19"/>
  <c r="E55" i="19"/>
  <c r="E54" i="19"/>
  <c r="E53" i="19"/>
  <c r="E48" i="19"/>
  <c r="E47" i="19"/>
  <c r="E22" i="19"/>
  <c r="F55" i="6"/>
  <c r="F54" i="6"/>
  <c r="F53" i="6"/>
  <c r="F48" i="6"/>
  <c r="F47" i="6"/>
  <c r="E55" i="6"/>
  <c r="E54" i="6"/>
  <c r="E53" i="6"/>
  <c r="E48" i="6"/>
  <c r="E47" i="6"/>
  <c r="E31" i="6"/>
  <c r="E30" i="6"/>
  <c r="E29" i="6"/>
  <c r="F56" i="19" l="1"/>
  <c r="F49" i="8"/>
  <c r="E32" i="8"/>
  <c r="E32" i="6"/>
  <c r="E20" i="34" l="1"/>
  <c r="E20" i="15"/>
  <c r="E20" i="35" l="1"/>
  <c r="G53" i="35" l="1"/>
  <c r="G54" i="35" s="1"/>
  <c r="F53" i="35"/>
  <c r="F54" i="35" s="1"/>
  <c r="G45" i="35"/>
  <c r="G46" i="35" s="1"/>
  <c r="F45" i="35"/>
  <c r="F46" i="35" s="1"/>
  <c r="F37" i="35"/>
  <c r="F32" i="35"/>
  <c r="F27" i="35"/>
  <c r="F22" i="35"/>
  <c r="G53" i="34"/>
  <c r="G54" i="34" s="1"/>
  <c r="F53" i="34"/>
  <c r="F54" i="34" s="1"/>
  <c r="G45" i="34"/>
  <c r="G46" i="34" s="1"/>
  <c r="F45" i="34"/>
  <c r="F46" i="34" s="1"/>
  <c r="F37" i="34"/>
  <c r="F32" i="34"/>
  <c r="F27" i="34"/>
  <c r="F22" i="34"/>
  <c r="F56" i="35" l="1"/>
  <c r="F58" i="35" s="1"/>
  <c r="F39" i="35"/>
  <c r="F56" i="34"/>
  <c r="F58" i="34" s="1"/>
  <c r="B63" i="34" s="1"/>
  <c r="F39" i="34"/>
  <c r="E63" i="28"/>
  <c r="D63" i="28"/>
  <c r="E62" i="28"/>
  <c r="D62" i="28"/>
  <c r="E61" i="28"/>
  <c r="D61" i="28"/>
  <c r="B63" i="28"/>
  <c r="B62" i="28"/>
  <c r="B61" i="28"/>
  <c r="E55" i="28"/>
  <c r="D55" i="28"/>
  <c r="E54" i="28"/>
  <c r="D54" i="28"/>
  <c r="B54" i="28"/>
  <c r="B62" i="35" l="1"/>
  <c r="B60" i="35"/>
  <c r="B60" i="34"/>
  <c r="B64" i="28"/>
  <c r="B56" i="28"/>
  <c r="B55" i="28"/>
  <c r="E37" i="28"/>
  <c r="B42" i="28"/>
  <c r="B47" i="28" l="1"/>
  <c r="B46" i="28"/>
  <c r="D46" i="28"/>
  <c r="D47" i="28"/>
  <c r="D42" i="28"/>
  <c r="B41" i="28"/>
  <c r="B37" i="28"/>
  <c r="D41" i="28"/>
  <c r="D35" i="28"/>
  <c r="E35" i="28"/>
  <c r="D36" i="28"/>
  <c r="E36" i="28"/>
  <c r="D28" i="28"/>
  <c r="E28" i="28"/>
  <c r="D29" i="28"/>
  <c r="E29" i="28"/>
  <c r="D30" i="28"/>
  <c r="E30" i="28"/>
  <c r="B30" i="28" l="1"/>
  <c r="B29" i="28"/>
  <c r="B28" i="28"/>
  <c r="G41" i="28"/>
  <c r="E28" i="26"/>
  <c r="E24" i="26"/>
  <c r="G29" i="28"/>
  <c r="B35" i="28" l="1"/>
  <c r="B36" i="28"/>
  <c r="D37" i="28"/>
  <c r="B33" i="28"/>
  <c r="B26" i="28"/>
  <c r="E31" i="19"/>
  <c r="E30" i="19"/>
  <c r="E29" i="19"/>
  <c r="E24" i="8"/>
  <c r="E23" i="8"/>
  <c r="E22" i="8"/>
  <c r="E24" i="33"/>
  <c r="E23" i="33"/>
  <c r="E22" i="33"/>
  <c r="E24" i="32"/>
  <c r="E23" i="32"/>
  <c r="E22" i="32"/>
  <c r="E24" i="31"/>
  <c r="E23" i="31"/>
  <c r="E22" i="31"/>
  <c r="E24" i="6"/>
  <c r="E23" i="6"/>
  <c r="E22" i="6"/>
  <c r="E24" i="19"/>
  <c r="E23" i="19"/>
  <c r="D12" i="8"/>
  <c r="D11" i="8"/>
  <c r="D10" i="8"/>
  <c r="D12" i="19"/>
  <c r="D11" i="19"/>
  <c r="D10" i="19"/>
  <c r="F56" i="33"/>
  <c r="F57" i="33" s="1"/>
  <c r="E56" i="33"/>
  <c r="E57" i="33" s="1"/>
  <c r="F52" i="33"/>
  <c r="E52" i="33"/>
  <c r="F49" i="33"/>
  <c r="F50" i="33" s="1"/>
  <c r="E49" i="33"/>
  <c r="E50" i="33" s="1"/>
  <c r="F46" i="33"/>
  <c r="E46" i="33"/>
  <c r="E42" i="33"/>
  <c r="E37" i="33"/>
  <c r="E32" i="33"/>
  <c r="E28" i="33"/>
  <c r="E21" i="33"/>
  <c r="D12" i="33"/>
  <c r="D11" i="33"/>
  <c r="D10" i="33"/>
  <c r="F56" i="32"/>
  <c r="F57" i="32" s="1"/>
  <c r="E56" i="32"/>
  <c r="E57" i="32" s="1"/>
  <c r="F52" i="32"/>
  <c r="E52" i="32"/>
  <c r="F49" i="32"/>
  <c r="F50" i="32" s="1"/>
  <c r="E49" i="32"/>
  <c r="E50" i="32" s="1"/>
  <c r="F46" i="32"/>
  <c r="E46" i="32"/>
  <c r="E42" i="32"/>
  <c r="E37" i="32"/>
  <c r="E32" i="32"/>
  <c r="E28" i="32"/>
  <c r="E21" i="32"/>
  <c r="D12" i="32"/>
  <c r="D11" i="32"/>
  <c r="D10" i="32"/>
  <c r="F56" i="31"/>
  <c r="F57" i="31" s="1"/>
  <c r="E56" i="31"/>
  <c r="E57" i="31" s="1"/>
  <c r="F52" i="31"/>
  <c r="E52" i="31"/>
  <c r="F49" i="31"/>
  <c r="F50" i="31" s="1"/>
  <c r="E49" i="31"/>
  <c r="E50" i="31" s="1"/>
  <c r="F46" i="31"/>
  <c r="E46" i="31"/>
  <c r="E42" i="31"/>
  <c r="E37" i="31"/>
  <c r="E32" i="31"/>
  <c r="E28" i="31"/>
  <c r="E21" i="31"/>
  <c r="D12" i="31"/>
  <c r="D11" i="31"/>
  <c r="D10" i="31"/>
  <c r="D10" i="6"/>
  <c r="E32" i="19" l="1"/>
  <c r="E25" i="33"/>
  <c r="E25" i="32"/>
  <c r="E25" i="31"/>
  <c r="D18" i="33"/>
  <c r="E44" i="33" s="1"/>
  <c r="D18" i="32"/>
  <c r="E27" i="32" s="1"/>
  <c r="D18" i="31"/>
  <c r="E44" i="31" s="1"/>
  <c r="E59" i="33"/>
  <c r="E59" i="32"/>
  <c r="E59" i="31"/>
  <c r="D12" i="6"/>
  <c r="D11" i="6"/>
  <c r="E61" i="33" l="1"/>
  <c r="E61" i="32"/>
  <c r="E61" i="31"/>
  <c r="E27" i="33"/>
  <c r="E20" i="33"/>
  <c r="E20" i="32"/>
  <c r="E44" i="32"/>
  <c r="E20" i="31"/>
  <c r="E27" i="31"/>
  <c r="G64" i="28" l="1"/>
  <c r="G65" i="28" s="1"/>
  <c r="F64" i="28"/>
  <c r="F65" i="28" s="1"/>
  <c r="G56" i="28"/>
  <c r="G57" i="28" s="1"/>
  <c r="F56" i="28"/>
  <c r="F57" i="28" s="1"/>
  <c r="F48" i="28"/>
  <c r="F43" i="28"/>
  <c r="F67" i="28" l="1"/>
  <c r="K18" i="26"/>
  <c r="J18" i="26"/>
  <c r="H18" i="26"/>
  <c r="K12" i="26"/>
  <c r="J12" i="26"/>
  <c r="I12" i="26"/>
  <c r="H12" i="26"/>
  <c r="K6" i="26"/>
  <c r="J6" i="26"/>
  <c r="I6" i="26"/>
  <c r="H6" i="26"/>
  <c r="L4" i="26" l="1"/>
  <c r="E5" i="25" s="1"/>
  <c r="H5" i="25" s="1"/>
  <c r="L10" i="26"/>
  <c r="E7" i="25" s="1"/>
  <c r="H7" i="25" s="1"/>
  <c r="E67" i="25"/>
  <c r="E82" i="25" s="1"/>
  <c r="E100" i="25" s="1"/>
  <c r="E115" i="25" s="1"/>
  <c r="W42" i="25" l="1"/>
  <c r="B113" i="25"/>
  <c r="B80" i="25"/>
  <c r="E145" i="25"/>
  <c r="E144" i="25"/>
  <c r="W37" i="25" l="1"/>
  <c r="W38" i="25"/>
  <c r="W70" i="25"/>
  <c r="W75" i="25"/>
  <c r="W43" i="25"/>
  <c r="W74" i="25"/>
  <c r="W109" i="25"/>
  <c r="W108" i="25"/>
  <c r="W102" i="25"/>
  <c r="W41" i="25"/>
  <c r="W39" i="25"/>
  <c r="W110" i="25"/>
  <c r="W105" i="25"/>
  <c r="W72" i="25"/>
  <c r="W103" i="25"/>
  <c r="W36" i="25"/>
  <c r="W69" i="25"/>
  <c r="W107" i="25"/>
  <c r="W71" i="25"/>
  <c r="W101" i="25"/>
  <c r="W40" i="25"/>
  <c r="W68" i="25"/>
  <c r="W77" i="25"/>
  <c r="W106" i="25"/>
  <c r="W76" i="25"/>
  <c r="W73" i="25"/>
  <c r="E162" i="25"/>
  <c r="F169" i="25"/>
  <c r="E167" i="25"/>
  <c r="F162" i="25"/>
  <c r="E169" i="25"/>
  <c r="E168" i="25"/>
  <c r="F167" i="25"/>
  <c r="F168" i="25"/>
  <c r="E143" i="25"/>
  <c r="E146" i="25" s="1"/>
  <c r="E161" i="25"/>
  <c r="F161" i="25"/>
  <c r="E56" i="8"/>
  <c r="E57" i="8" s="1"/>
  <c r="F163" i="25" l="1"/>
  <c r="F164" i="25" s="1"/>
  <c r="F170" i="25"/>
  <c r="F171" i="25" s="1"/>
  <c r="E170" i="25"/>
  <c r="E171" i="25" s="1"/>
  <c r="E163" i="25"/>
  <c r="E164" i="25" s="1"/>
  <c r="F27" i="15"/>
  <c r="F38" i="28"/>
  <c r="E173" i="25" l="1"/>
  <c r="E56" i="19"/>
  <c r="D18" i="8" l="1"/>
  <c r="D18" i="19" l="1"/>
  <c r="E20" i="19" s="1"/>
  <c r="E44" i="8"/>
  <c r="E46" i="6"/>
  <c r="F46" i="6"/>
  <c r="E52" i="6"/>
  <c r="F52" i="6"/>
  <c r="E46" i="8"/>
  <c r="F46" i="8"/>
  <c r="E52" i="8"/>
  <c r="F52" i="8"/>
  <c r="E46" i="19"/>
  <c r="F46" i="19"/>
  <c r="E52" i="19"/>
  <c r="F52" i="19"/>
  <c r="F57" i="19"/>
  <c r="E57" i="19"/>
  <c r="F49" i="19"/>
  <c r="F50" i="19" s="1"/>
  <c r="E49" i="19"/>
  <c r="E50" i="19" s="1"/>
  <c r="E42" i="19"/>
  <c r="E37" i="19"/>
  <c r="E28" i="19"/>
  <c r="E25" i="19"/>
  <c r="E21" i="19"/>
  <c r="E25" i="6"/>
  <c r="E25" i="8"/>
  <c r="E21" i="8"/>
  <c r="E28" i="8"/>
  <c r="E28" i="6"/>
  <c r="E21" i="6"/>
  <c r="F31" i="28" l="1"/>
  <c r="F69" i="28" s="1"/>
  <c r="B72" i="28" s="1"/>
  <c r="E59" i="19"/>
  <c r="E61" i="19" s="1"/>
  <c r="E27" i="19"/>
  <c r="E44" i="19"/>
  <c r="E49" i="6"/>
  <c r="E50" i="6" s="1"/>
  <c r="H4" i="2"/>
  <c r="B73" i="28" l="1"/>
  <c r="H3" i="2"/>
  <c r="F56" i="8"/>
  <c r="F57" i="8" s="1"/>
  <c r="F50" i="8"/>
  <c r="E49" i="8"/>
  <c r="E50" i="8" s="1"/>
  <c r="E42" i="8"/>
  <c r="E37" i="8"/>
  <c r="F56" i="6"/>
  <c r="F57" i="6" s="1"/>
  <c r="E56" i="6"/>
  <c r="E57" i="6" s="1"/>
  <c r="F49" i="6"/>
  <c r="F50" i="6" s="1"/>
  <c r="E42" i="6"/>
  <c r="E37" i="6"/>
  <c r="G53" i="15"/>
  <c r="G54" i="15" s="1"/>
  <c r="F53" i="15"/>
  <c r="F54" i="15" s="1"/>
  <c r="G45" i="15"/>
  <c r="G46" i="15" s="1"/>
  <c r="F45" i="15"/>
  <c r="F46" i="15" s="1"/>
  <c r="F32" i="15"/>
  <c r="F39" i="15"/>
  <c r="E27" i="8"/>
  <c r="E20" i="8"/>
  <c r="F56" i="15" l="1"/>
  <c r="F58" i="15" s="1"/>
  <c r="B60" i="15" s="1"/>
  <c r="E59" i="8"/>
  <c r="E61" i="8" s="1"/>
  <c r="E59" i="6"/>
  <c r="E61" i="6" s="1"/>
  <c r="F22" i="15"/>
  <c r="D18" i="6"/>
  <c r="B62" i="15" l="1"/>
  <c r="E24" i="28"/>
  <c r="F50" i="28" s="1"/>
  <c r="E44" i="6"/>
  <c r="E27" i="6"/>
  <c r="E20" i="6"/>
  <c r="F33" i="28" l="1"/>
  <c r="F26" i="28"/>
  <c r="I17" i="26"/>
  <c r="I18" i="26" s="1"/>
  <c r="L16" i="26" s="1"/>
  <c r="E9" i="25" s="1"/>
  <c r="H9" i="25" l="1"/>
  <c r="T95" i="25" l="1"/>
  <c r="T28" i="25"/>
  <c r="AB34" i="25" l="1"/>
  <c r="AD40" i="25"/>
  <c r="Z42" i="25"/>
  <c r="Z39" i="25"/>
  <c r="Q68" i="25"/>
  <c r="X107" i="25"/>
  <c r="AB72" i="25"/>
  <c r="Z75" i="25"/>
  <c r="AD41" i="25"/>
  <c r="Q34" i="25"/>
  <c r="AF38" i="25"/>
  <c r="Z110" i="25"/>
  <c r="Q75" i="25"/>
  <c r="AF107" i="25"/>
  <c r="AB106" i="25"/>
  <c r="AF35" i="25"/>
  <c r="X35" i="25"/>
  <c r="W34" i="25"/>
  <c r="AB75" i="25"/>
  <c r="Z77" i="25"/>
  <c r="AB101" i="25"/>
  <c r="X43" i="25"/>
  <c r="AB107" i="25"/>
  <c r="AB71" i="25"/>
  <c r="AD103" i="25"/>
  <c r="AF42" i="25"/>
  <c r="AB43" i="25"/>
  <c r="AB37" i="25"/>
  <c r="X41" i="25"/>
  <c r="X104" i="25"/>
  <c r="AB40" i="25"/>
  <c r="AB70" i="25"/>
  <c r="AF68" i="25"/>
  <c r="X74" i="25"/>
  <c r="Q108" i="25"/>
  <c r="X73" i="25"/>
  <c r="Z41" i="25"/>
  <c r="AD37" i="25"/>
  <c r="Z43" i="25"/>
  <c r="X42" i="25"/>
  <c r="Q103" i="25"/>
  <c r="AF41" i="25"/>
  <c r="Q106" i="25"/>
  <c r="W35" i="25"/>
  <c r="X34" i="25"/>
  <c r="AB68" i="25"/>
  <c r="AF106" i="25"/>
  <c r="Q109" i="25"/>
  <c r="Z106" i="25"/>
  <c r="AB76" i="25"/>
  <c r="Z37" i="25"/>
  <c r="X77" i="25"/>
  <c r="Q104" i="25"/>
  <c r="X69" i="25"/>
  <c r="AD35" i="25"/>
  <c r="AB102" i="25"/>
  <c r="Z76" i="25"/>
  <c r="Z74" i="25"/>
  <c r="Q36" i="25"/>
  <c r="Z36" i="25"/>
  <c r="AB73" i="25"/>
  <c r="AD43" i="25"/>
  <c r="AB77" i="25"/>
  <c r="AB38" i="25"/>
  <c r="AF36" i="25"/>
  <c r="X106" i="25"/>
  <c r="Q69" i="25"/>
  <c r="Q105" i="25"/>
  <c r="AF74" i="25"/>
  <c r="Z69" i="25"/>
  <c r="Z38" i="25"/>
  <c r="X36" i="25"/>
  <c r="Z68" i="25"/>
  <c r="Q35" i="25"/>
  <c r="AD75" i="25"/>
  <c r="Z108" i="25"/>
  <c r="Q43" i="25"/>
  <c r="X102" i="25"/>
  <c r="X71" i="25"/>
  <c r="AB41" i="25"/>
  <c r="X109" i="25"/>
  <c r="AF108" i="25"/>
  <c r="Q107" i="25"/>
  <c r="AF75" i="25"/>
  <c r="Z35" i="25"/>
  <c r="Q38" i="25"/>
  <c r="Q74" i="25"/>
  <c r="AF71" i="25"/>
  <c r="X103" i="25"/>
  <c r="AF43" i="25"/>
  <c r="X38" i="25"/>
  <c r="AB103" i="25"/>
  <c r="AF76" i="25"/>
  <c r="X70" i="25"/>
  <c r="Z71" i="25"/>
  <c r="AD109" i="25"/>
  <c r="AF105" i="25"/>
  <c r="AD72" i="25"/>
  <c r="Z73" i="25"/>
  <c r="AF40" i="25"/>
  <c r="AF72" i="25"/>
  <c r="AD106" i="25"/>
  <c r="AD108" i="25"/>
  <c r="AD34" i="25"/>
  <c r="Z34" i="25"/>
  <c r="AD102" i="25"/>
  <c r="AD101" i="25"/>
  <c r="AB74" i="25"/>
  <c r="X105" i="25"/>
  <c r="Q71" i="25"/>
  <c r="Q76" i="25"/>
  <c r="Z70" i="25"/>
  <c r="AD74" i="25"/>
  <c r="AD38" i="25"/>
  <c r="Q40" i="25"/>
  <c r="AD69" i="25"/>
  <c r="X39" i="25"/>
  <c r="X101" i="25"/>
  <c r="AF103" i="25"/>
  <c r="AD110" i="25"/>
  <c r="Q101" i="25"/>
  <c r="Z103" i="25"/>
  <c r="Z104" i="25"/>
  <c r="Z105" i="25"/>
  <c r="AB105" i="25"/>
  <c r="AF101" i="25"/>
  <c r="Q70" i="25"/>
  <c r="Q110" i="25"/>
  <c r="AD76" i="25"/>
  <c r="AB108" i="25"/>
  <c r="Q77" i="25"/>
  <c r="AB39" i="25"/>
  <c r="AF73" i="25"/>
  <c r="AB36" i="25"/>
  <c r="AB69" i="25"/>
  <c r="X110" i="25"/>
  <c r="AF34" i="25"/>
  <c r="AF37" i="25"/>
  <c r="Q41" i="25"/>
  <c r="X68" i="25"/>
  <c r="AD107" i="25"/>
  <c r="Z40" i="25"/>
  <c r="Z72" i="25"/>
  <c r="AF104" i="25"/>
  <c r="AB42" i="25"/>
  <c r="AF110" i="25"/>
  <c r="AB35" i="25"/>
  <c r="AD39" i="25"/>
  <c r="AB110" i="25"/>
  <c r="X76" i="25"/>
  <c r="Q102" i="25"/>
  <c r="AD68" i="25"/>
  <c r="AF102" i="25"/>
  <c r="AD77" i="25"/>
  <c r="Q39" i="25"/>
  <c r="AF77" i="25"/>
  <c r="AD104" i="25"/>
  <c r="AB104" i="25"/>
  <c r="Z102" i="25"/>
  <c r="Z109" i="25"/>
  <c r="AD71" i="25"/>
  <c r="AD42" i="25"/>
  <c r="AF69" i="25"/>
  <c r="Q42" i="25"/>
  <c r="Z107" i="25"/>
  <c r="X108" i="25"/>
  <c r="Q37" i="25"/>
  <c r="AD105" i="25"/>
  <c r="AD73" i="25"/>
  <c r="Q73" i="25"/>
  <c r="AD36" i="25"/>
  <c r="Z101" i="25"/>
  <c r="X72" i="25"/>
  <c r="X37" i="25"/>
  <c r="AF70" i="25"/>
  <c r="X75" i="25"/>
  <c r="X40" i="25"/>
  <c r="AB109" i="25"/>
  <c r="Q72" i="25"/>
  <c r="AF39" i="25"/>
  <c r="AF109" i="25"/>
  <c r="AD70" i="25"/>
  <c r="T30" i="25"/>
  <c r="T97" i="25"/>
  <c r="T115" i="25" s="1"/>
  <c r="U115" i="25" s="1"/>
  <c r="I160" i="25" l="1"/>
  <c r="I166" i="25" s="1"/>
  <c r="Z130" i="25"/>
  <c r="X130" i="25"/>
  <c r="AD130" i="25"/>
  <c r="W129" i="25"/>
  <c r="W130" i="25" s="1"/>
  <c r="AF130" i="25"/>
  <c r="Y42" i="25"/>
  <c r="Y118" i="25"/>
  <c r="AA56" i="25"/>
  <c r="AC35" i="25"/>
  <c r="Y53" i="25"/>
  <c r="AG42" i="25"/>
  <c r="AA50" i="25"/>
  <c r="Y37" i="25"/>
  <c r="AA38" i="25"/>
  <c r="AA85" i="25"/>
  <c r="Y76" i="25"/>
  <c r="Y110" i="25"/>
  <c r="AG84" i="25"/>
  <c r="Y105" i="25"/>
  <c r="Y109" i="25"/>
  <c r="AA73" i="25"/>
  <c r="AC37" i="25"/>
  <c r="AG109" i="25"/>
  <c r="AA120" i="25"/>
  <c r="AE121" i="25"/>
  <c r="AG91" i="25"/>
  <c r="R110" i="25"/>
  <c r="AA39" i="25"/>
  <c r="R35" i="25"/>
  <c r="AE35" i="25"/>
  <c r="AA36" i="25"/>
  <c r="AC117" i="25"/>
  <c r="R72" i="25"/>
  <c r="AA69" i="25"/>
  <c r="AA84" i="25"/>
  <c r="AG68" i="25"/>
  <c r="AE49" i="25"/>
  <c r="R77" i="25"/>
  <c r="AE74" i="25"/>
  <c r="AA51" i="25"/>
  <c r="Y122" i="25"/>
  <c r="Y88" i="25"/>
  <c r="AC58" i="25"/>
  <c r="AA42" i="25"/>
  <c r="AC43" i="25"/>
  <c r="AG34" i="25"/>
  <c r="AA34" i="25"/>
  <c r="AA75" i="25"/>
  <c r="Y68" i="25"/>
  <c r="AE116" i="25"/>
  <c r="AC69" i="25"/>
  <c r="AC88" i="25"/>
  <c r="AG90" i="25"/>
  <c r="AE108" i="25"/>
  <c r="R107" i="25"/>
  <c r="Y91" i="25"/>
  <c r="AG69" i="25"/>
  <c r="AE83" i="25"/>
  <c r="AG51" i="25"/>
  <c r="AA54" i="25"/>
  <c r="AG122" i="25"/>
  <c r="AC92" i="25"/>
  <c r="R37" i="25"/>
  <c r="AG85" i="25"/>
  <c r="Y119" i="25"/>
  <c r="R69" i="25"/>
  <c r="R40" i="25"/>
  <c r="AE58" i="25"/>
  <c r="AE89" i="25"/>
  <c r="AE92" i="25"/>
  <c r="AG40" i="25"/>
  <c r="Y77" i="25"/>
  <c r="AG107" i="25"/>
  <c r="AE55" i="25"/>
  <c r="AA53" i="25"/>
  <c r="AE37" i="25"/>
  <c r="AE87" i="25"/>
  <c r="AG73" i="25"/>
  <c r="AA57" i="25"/>
  <c r="AA124" i="25"/>
  <c r="AA89" i="25"/>
  <c r="AC76" i="25"/>
  <c r="AC107" i="25"/>
  <c r="Y104" i="25"/>
  <c r="AE103" i="25"/>
  <c r="R74" i="25"/>
  <c r="AA107" i="25"/>
  <c r="AC123" i="25"/>
  <c r="R106" i="25"/>
  <c r="AG87" i="25"/>
  <c r="AG88" i="25"/>
  <c r="Y116" i="25"/>
  <c r="R73" i="25"/>
  <c r="AC109" i="25"/>
  <c r="AG118" i="25"/>
  <c r="AG117" i="25"/>
  <c r="R108" i="25"/>
  <c r="AE39" i="25"/>
  <c r="Y55" i="25"/>
  <c r="AE40" i="25"/>
  <c r="AG105" i="25"/>
  <c r="AA86" i="25"/>
  <c r="AA125" i="25"/>
  <c r="AE120" i="25"/>
  <c r="AG50" i="25"/>
  <c r="Y69" i="25"/>
  <c r="R104" i="25"/>
  <c r="AC52" i="25"/>
  <c r="AC85" i="25"/>
  <c r="AA118" i="25"/>
  <c r="Y56" i="25"/>
  <c r="R76" i="25"/>
  <c r="AG104" i="25"/>
  <c r="AC72" i="25"/>
  <c r="AG103" i="25"/>
  <c r="Y43" i="25"/>
  <c r="AC50" i="25"/>
  <c r="Y34" i="25"/>
  <c r="AG49" i="25"/>
  <c r="AC86" i="25"/>
  <c r="Y51" i="25"/>
  <c r="AE50" i="25"/>
  <c r="Y121" i="25"/>
  <c r="AE76" i="25"/>
  <c r="AC87" i="25"/>
  <c r="AE119" i="25"/>
  <c r="Y103" i="25"/>
  <c r="AG77" i="25"/>
  <c r="AG124" i="25"/>
  <c r="AG74" i="25"/>
  <c r="AE68" i="25"/>
  <c r="AA106" i="25"/>
  <c r="AA92" i="25"/>
  <c r="AC122" i="25"/>
  <c r="AC68" i="25"/>
  <c r="Y90" i="25"/>
  <c r="AE77" i="25"/>
  <c r="AE84" i="25"/>
  <c r="AA83" i="25"/>
  <c r="AE53" i="25"/>
  <c r="AA71" i="25"/>
  <c r="AC125" i="25"/>
  <c r="AC40" i="25"/>
  <c r="AG110" i="25"/>
  <c r="AE41" i="25"/>
  <c r="Y85" i="25"/>
  <c r="AE106" i="25"/>
  <c r="Y50" i="25"/>
  <c r="AC120" i="25"/>
  <c r="R43" i="25"/>
  <c r="AG116" i="25"/>
  <c r="Y36" i="25"/>
  <c r="AE124" i="25"/>
  <c r="Y120" i="25"/>
  <c r="R71" i="25"/>
  <c r="AG72" i="25"/>
  <c r="AC53" i="25"/>
  <c r="AC36" i="25"/>
  <c r="AG76" i="25"/>
  <c r="AC34" i="25"/>
  <c r="AE107" i="25"/>
  <c r="AC102" i="25"/>
  <c r="AA70" i="25"/>
  <c r="AC73" i="25"/>
  <c r="AG101" i="25"/>
  <c r="AG55" i="25"/>
  <c r="AA121" i="25"/>
  <c r="AE104" i="25"/>
  <c r="R105" i="25"/>
  <c r="AG41" i="25"/>
  <c r="Y124" i="25"/>
  <c r="AC74" i="25"/>
  <c r="AC118" i="25"/>
  <c r="AG106" i="25"/>
  <c r="AA76" i="25"/>
  <c r="AG108" i="25"/>
  <c r="R102" i="25"/>
  <c r="AA35" i="25"/>
  <c r="AC116" i="25"/>
  <c r="AG56" i="25"/>
  <c r="Y84" i="25"/>
  <c r="AG89" i="25"/>
  <c r="AG70" i="25"/>
  <c r="R103" i="25"/>
  <c r="AA55" i="25"/>
  <c r="AA104" i="25"/>
  <c r="AE71" i="25"/>
  <c r="AE91" i="25"/>
  <c r="Y72" i="25"/>
  <c r="AC75" i="25"/>
  <c r="AE123" i="25"/>
  <c r="AC83" i="25"/>
  <c r="AG39" i="25"/>
  <c r="Y39" i="25"/>
  <c r="AA58" i="25"/>
  <c r="AE86" i="25"/>
  <c r="Y49" i="25"/>
  <c r="AC108" i="25"/>
  <c r="AG125" i="25"/>
  <c r="Y125" i="25"/>
  <c r="R68" i="25"/>
  <c r="Y86" i="25"/>
  <c r="Y74" i="25"/>
  <c r="AC119" i="25"/>
  <c r="AA49" i="25"/>
  <c r="Y87" i="25"/>
  <c r="AA91" i="25"/>
  <c r="AE109" i="25"/>
  <c r="AA119" i="25"/>
  <c r="Y101" i="25"/>
  <c r="AG119" i="25"/>
  <c r="Y52" i="25"/>
  <c r="AA109" i="25"/>
  <c r="AG54" i="25"/>
  <c r="AC56" i="25"/>
  <c r="Y89" i="25"/>
  <c r="Y40" i="25"/>
  <c r="Y38" i="25"/>
  <c r="AE101" i="25"/>
  <c r="AC110" i="25"/>
  <c r="Y73" i="25"/>
  <c r="AE56" i="25"/>
  <c r="AG57" i="25"/>
  <c r="Y117" i="25"/>
  <c r="AA52" i="25"/>
  <c r="Y57" i="25"/>
  <c r="AC89" i="25"/>
  <c r="AA101" i="25"/>
  <c r="AG92" i="25"/>
  <c r="Y102" i="25"/>
  <c r="AC104" i="25"/>
  <c r="AA116" i="25"/>
  <c r="R39" i="25"/>
  <c r="R101" i="25"/>
  <c r="R41" i="25"/>
  <c r="AC71" i="25"/>
  <c r="AE42" i="25"/>
  <c r="AA43" i="25"/>
  <c r="R38" i="25"/>
  <c r="AA87" i="25"/>
  <c r="AA74" i="25"/>
  <c r="AC90" i="25"/>
  <c r="AG43" i="25"/>
  <c r="AE88" i="25"/>
  <c r="Y123" i="25"/>
  <c r="AA117" i="25"/>
  <c r="AE70" i="25"/>
  <c r="AG58" i="25"/>
  <c r="AA123" i="25"/>
  <c r="AA102" i="25"/>
  <c r="AE38" i="25"/>
  <c r="AE75" i="25"/>
  <c r="AA77" i="25"/>
  <c r="Y41" i="25"/>
  <c r="R42" i="25"/>
  <c r="AC105" i="25"/>
  <c r="AE54" i="25"/>
  <c r="AC91" i="25"/>
  <c r="AE125" i="25"/>
  <c r="AA72" i="25"/>
  <c r="AC41" i="25"/>
  <c r="AG121" i="25"/>
  <c r="AA103" i="25"/>
  <c r="AA40" i="25"/>
  <c r="AG120" i="25"/>
  <c r="AE90" i="25"/>
  <c r="Y70" i="25"/>
  <c r="AE57" i="25"/>
  <c r="AC51" i="25"/>
  <c r="AE34" i="25"/>
  <c r="AC77" i="25"/>
  <c r="AE51" i="25"/>
  <c r="Y106" i="25"/>
  <c r="AA90" i="25"/>
  <c r="AC38" i="25"/>
  <c r="AA105" i="25"/>
  <c r="Y107" i="25"/>
  <c r="AE105" i="25"/>
  <c r="AE110" i="25"/>
  <c r="AC101" i="25"/>
  <c r="AE73" i="25"/>
  <c r="AE118" i="25"/>
  <c r="R75" i="25"/>
  <c r="AC103" i="25"/>
  <c r="AG86" i="25"/>
  <c r="AG75" i="25"/>
  <c r="AC54" i="25"/>
  <c r="AG102" i="25"/>
  <c r="AC49" i="25"/>
  <c r="R70" i="25"/>
  <c r="AE122" i="25"/>
  <c r="AG37" i="25"/>
  <c r="Y75" i="25"/>
  <c r="AE36" i="25"/>
  <c r="AC57" i="25"/>
  <c r="AA41" i="25"/>
  <c r="AC121" i="25"/>
  <c r="AE69" i="25"/>
  <c r="AE102" i="25"/>
  <c r="AC42" i="25"/>
  <c r="Y108" i="25"/>
  <c r="R34" i="25"/>
  <c r="AE43" i="25"/>
  <c r="AG52" i="25"/>
  <c r="AA68" i="25"/>
  <c r="AC84" i="25"/>
  <c r="AE117" i="25"/>
  <c r="AG83" i="25"/>
  <c r="AC55" i="25"/>
  <c r="AC70" i="25"/>
  <c r="AA108" i="25"/>
  <c r="R36" i="25"/>
  <c r="Y54" i="25"/>
  <c r="AE72" i="25"/>
  <c r="AA88" i="25"/>
  <c r="AG36" i="25"/>
  <c r="AC124" i="25"/>
  <c r="AG35" i="25"/>
  <c r="Y35" i="25"/>
  <c r="AE85" i="25"/>
  <c r="AA37" i="25"/>
  <c r="AG123" i="25"/>
  <c r="AE52" i="25"/>
  <c r="AC39" i="25"/>
  <c r="AA110" i="25"/>
  <c r="R109" i="25"/>
  <c r="Y58" i="25"/>
  <c r="AG71" i="25"/>
  <c r="AG38" i="25"/>
  <c r="Y83" i="25"/>
  <c r="AA122" i="25"/>
  <c r="AC106" i="25"/>
  <c r="AG53" i="25"/>
  <c r="Y71" i="25"/>
  <c r="Y92" i="25"/>
  <c r="Q111" i="25"/>
  <c r="AB130" i="25"/>
  <c r="O132" i="25" l="1"/>
  <c r="AA130" i="25"/>
  <c r="Y130" i="25"/>
  <c r="AG130" i="25"/>
  <c r="AE130" i="25"/>
  <c r="R111" i="25"/>
  <c r="AC130" i="25"/>
  <c r="W136" i="25"/>
  <c r="W139" i="25" s="1"/>
  <c r="W142" i="25" s="1"/>
  <c r="W145" i="25" s="1"/>
  <c r="S111" i="25" l="1"/>
  <c r="K158" i="25" s="1"/>
  <c r="O134" i="25" l="1"/>
  <c r="E142" i="25" s="1"/>
  <c r="H167" i="25"/>
  <c r="H169" i="25"/>
  <c r="H168" i="25"/>
  <c r="I161" i="25"/>
  <c r="I169" i="25"/>
  <c r="I162" i="25"/>
  <c r="H162" i="25"/>
  <c r="I168" i="25"/>
  <c r="I167" i="25"/>
  <c r="H161" i="25"/>
  <c r="H170" i="25" l="1"/>
  <c r="H171" i="25" s="1"/>
  <c r="I163" i="25"/>
  <c r="I164" i="25" s="1"/>
  <c r="E135" i="25"/>
  <c r="O137" i="25" s="1"/>
  <c r="O139" i="25" s="1"/>
  <c r="F160" i="25" s="1"/>
  <c r="E166" i="25"/>
  <c r="E160" i="25"/>
  <c r="W161" i="25" s="1"/>
  <c r="I170" i="25"/>
  <c r="I171" i="25" s="1"/>
  <c r="H163" i="25"/>
  <c r="H164" i="25" s="1"/>
  <c r="F166" i="25" l="1"/>
  <c r="H173" i="25"/>
  <c r="B177" i="25" s="1"/>
  <c r="E175" i="25" l="1"/>
  <c r="O128" i="25"/>
  <c r="B179" i="25" s="1"/>
  <c r="B180"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RIPA</author>
  </authors>
  <commentList>
    <comment ref="B34" authorId="0" shapeId="0" xr:uid="{F1016C08-0B09-4A17-8329-949DDF19ABF4}">
      <text>
        <r>
          <rPr>
            <b/>
            <sz val="12"/>
            <color indexed="81"/>
            <rFont val="Tahoma"/>
            <family val="2"/>
            <charset val="238"/>
          </rPr>
          <t xml:space="preserve">
PRÁVNÍ FORMY PODLÉHAJÍCÍ KRITÉRIU "A":</t>
        </r>
        <r>
          <rPr>
            <b/>
            <sz val="11"/>
            <color indexed="81"/>
            <rFont val="Tahoma"/>
            <family val="2"/>
            <charset val="238"/>
          </rPr>
          <t xml:space="preserve">
</t>
        </r>
        <r>
          <rPr>
            <sz val="9"/>
            <color indexed="81"/>
            <rFont val="Tahoma"/>
            <charset val="1"/>
          </rPr>
          <t xml:space="preserve">
</t>
        </r>
        <r>
          <rPr>
            <sz val="10"/>
            <color indexed="81"/>
            <rFont val="Tahoma"/>
            <family val="2"/>
            <charset val="238"/>
          </rPr>
          <t xml:space="preserve">- Společnosti s ručením omezeným;
- Akciové společnosti;
- Evropské společnosti;
- Družstva;
- Evropské družstevní společnosti;
- Státní podniky (dle zákona č. 77/1997 Sb. ve znění pozdějších předpisů);
- Nadace a nadační fondy (pokud mají minimální kapitálový požadavek, nebo omezené ručení společníků či osob v podobném postavení);
- Komanditní společnosti (pakliže je vkladová povinnost komanditistů plněna v penězích, tzn. společnost tvoří základní kapitál);
- Veřejné obchodní společnosti (pakliže se společníci ve společenské smlouvě zavázali ke vkladové povinnosti, tzn. společnost tvoří základní kapitál);
</t>
        </r>
        <r>
          <rPr>
            <i/>
            <sz val="10"/>
            <color indexed="81"/>
            <rFont val="Tahoma"/>
            <family val="2"/>
            <charset val="238"/>
          </rPr>
          <t>- A další právní formy se základním kapitálem a s omezenou formou ručení společníků nebo osob v podobném postavení.</t>
        </r>
        <r>
          <rPr>
            <sz val="9"/>
            <color indexed="81"/>
            <rFont val="Tahoma"/>
            <charset val="1"/>
          </rPr>
          <t xml:space="preserve">
</t>
        </r>
      </text>
    </comment>
    <comment ref="B68" authorId="0" shapeId="0" xr:uid="{C7BB5D89-95F7-4D17-AE00-8418CA9139FE}">
      <text>
        <r>
          <rPr>
            <b/>
            <sz val="11"/>
            <color indexed="81"/>
            <rFont val="Tahoma"/>
            <family val="2"/>
            <charset val="238"/>
          </rPr>
          <t xml:space="preserve">
</t>
        </r>
        <r>
          <rPr>
            <b/>
            <sz val="12"/>
            <color indexed="81"/>
            <rFont val="Tahoma"/>
            <family val="2"/>
            <charset val="238"/>
          </rPr>
          <t>PRÁVNÍ FORMY PODLÉHAJÍCÍ KRITÉRIU "B":</t>
        </r>
        <r>
          <rPr>
            <sz val="9"/>
            <color indexed="81"/>
            <rFont val="Tahoma"/>
            <family val="2"/>
            <charset val="238"/>
          </rPr>
          <t xml:space="preserve">
</t>
        </r>
        <r>
          <rPr>
            <sz val="10"/>
            <color indexed="81"/>
            <rFont val="Tahoma"/>
            <family val="2"/>
            <charset val="238"/>
          </rPr>
          <t xml:space="preserve">
- Evropské hospodářské zájmové sdružení;
- Komanditní společnosti (pakliže vkladová povinnost komanditistů není plněna v penězích, tzn. společnost netvoří základní kapitál);
- Veřejné obchodní společnosti (pakliže se společníci ve společenské smlouvě nezavázali ke vkladové povinnosti, tzn. společnost netvoří základní kapitál);
- OSVČ vedoucí účetnictví;
- OSVČ vedoucí daňovou evidenci (pakliže je skupina vyhodnocena jako velký podnik, nebo byla velikost skupiny označena "Nevím". V ostatních případech (tzn. pokud byla skupina hodnocena Přílohou MSP a velikost podnikatele je průkazně MSP) OSVČ s daňovou evidencí nepodstoupí test dle písmene „A“ a ani dle písmene „B“. V tomto případě bude OSVČ s daňovou evidencí uvedena v poslední tabulce);
</t>
        </r>
        <r>
          <rPr>
            <i/>
            <sz val="10"/>
            <color indexed="81"/>
            <rFont val="Tahoma"/>
            <family val="2"/>
            <charset val="238"/>
          </rPr>
          <t xml:space="preserve">
</t>
        </r>
        <r>
          <rPr>
            <i/>
            <sz val="11"/>
            <color indexed="81"/>
            <rFont val="Tahoma"/>
            <family val="2"/>
            <charset val="238"/>
          </rPr>
          <t xml:space="preserve">- A další právní formy bez základního kapitálu (kdy zákon neukládá členům/společníkům nebo osobám v podobném postavení vkladovou povinnost) a ve kterých některý člen/společník nebo osoba v podobném postavení ručí plně za závazky podniku). </t>
        </r>
        <r>
          <rPr>
            <sz val="9"/>
            <color indexed="81"/>
            <rFont val="Tahoma"/>
            <family val="2"/>
            <charset val="238"/>
          </rPr>
          <t xml:space="preserve">
</t>
        </r>
      </text>
    </comment>
    <comment ref="B101" authorId="0" shapeId="0" xr:uid="{36CE457D-022F-4306-9AD4-6B5E73451DCA}">
      <text>
        <r>
          <rPr>
            <b/>
            <sz val="9"/>
            <color indexed="81"/>
            <rFont val="Tahoma"/>
            <charset val="1"/>
          </rPr>
          <t xml:space="preserve">
</t>
        </r>
        <r>
          <rPr>
            <b/>
            <sz val="12"/>
            <color indexed="81"/>
            <rFont val="Tahoma"/>
            <family val="2"/>
            <charset val="238"/>
          </rPr>
          <t>PRÁVNÍ FORMY NEPODLÉHAJÍCÍ KRITÉRIU "A" ANI KRITÉRIU "B":</t>
        </r>
        <r>
          <rPr>
            <b/>
            <sz val="9"/>
            <color indexed="81"/>
            <rFont val="Tahoma"/>
            <charset val="1"/>
          </rPr>
          <t xml:space="preserve">
</t>
        </r>
        <r>
          <rPr>
            <b/>
            <sz val="10"/>
            <color indexed="81"/>
            <rFont val="Tahoma"/>
            <family val="2"/>
            <charset val="238"/>
          </rPr>
          <t xml:space="preserve">
- </t>
        </r>
        <r>
          <rPr>
            <sz val="10"/>
            <color indexed="81"/>
            <rFont val="Tahoma"/>
            <family val="2"/>
            <charset val="238"/>
          </rPr>
          <t xml:space="preserve">OSVČ s daňovou evidencí (pakliže byla skupina průkazně hodnocena pomocí Přílohy MSP, kdy velikost podnikatele je MSP - mikro, malý nebo střední podnik). V případěch, kdy je velikost skupiny označena příznakem "Nevím", nebo je velikost podnikatele "velký", tato OSVČ s daňovou evidencí podstoupí test dle kritéria "B";
- OSVČ přihlášená k paušální dani;
- OSVČ přihlášená k paušálním výdajům;
- Spolky;
</t>
        </r>
        <r>
          <rPr>
            <i/>
            <sz val="10"/>
            <color indexed="81"/>
            <rFont val="Tahoma"/>
            <family val="2"/>
            <charset val="238"/>
          </rPr>
          <t xml:space="preserve">A další právní formy:
- Podniky (právnícké osoby), které vedou účetnictví, a nemají základní kapitál ani minimální kapitálový požadavek (a ani jeden ze společníků/členů neručí plně za závazky);
- Podniky, které vedou jednoduché účetnictví, nebo daňovou evidenci, a ani jeden ze společníků neručí plně za závazky podniku (bez ohledu na ZK nebo minimální kapitálový požadavek). 
</t>
        </r>
      </text>
    </comment>
  </commentList>
</comments>
</file>

<file path=xl/sharedStrings.xml><?xml version="1.0" encoding="utf-8"?>
<sst xmlns="http://schemas.openxmlformats.org/spreadsheetml/2006/main" count="1626" uniqueCount="521">
  <si>
    <t>se sídlem</t>
  </si>
  <si>
    <t>IČO</t>
  </si>
  <si>
    <t>Ano</t>
  </si>
  <si>
    <t>Ne</t>
  </si>
  <si>
    <t>vlastní kapitál</t>
  </si>
  <si>
    <t>A.</t>
  </si>
  <si>
    <t>základní kapitál</t>
  </si>
  <si>
    <t>A.I</t>
  </si>
  <si>
    <t>A.II</t>
  </si>
  <si>
    <t>A.II.1</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</si>
  <si>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</si>
  <si>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</si>
  <si>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</si>
  <si>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</si>
  <si>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</si>
  <si>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</si>
  <si>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</si>
  <si>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</si>
  <si>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</si>
  <si>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</si>
  <si>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</si>
  <si>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</si>
  <si>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</si>
  <si>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</si>
  <si>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</si>
  <si>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</si>
  <si>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</si>
  <si>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</si>
  <si>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</si>
  <si>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</si>
  <si>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</si>
  <si>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</si>
  <si>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</si>
  <si>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</si>
  <si>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</si>
  <si>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</si>
  <si>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</si>
  <si>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C.</t>
  </si>
  <si>
    <t>---</t>
  </si>
  <si>
    <t>výsledek hospodaření běžného účetního období</t>
  </si>
  <si>
    <t>výsledek hospodaření</t>
  </si>
  <si>
    <t>C.III</t>
  </si>
  <si>
    <t>modifikovaný vlastní kapitál</t>
  </si>
  <si>
    <t>odpisy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</si>
  <si>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</si>
  <si>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</si>
  <si>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</si>
  <si>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</si>
  <si>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</si>
  <si>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</si>
  <si>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</si>
  <si>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</si>
  <si>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</si>
  <si>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</si>
  <si>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</si>
  <si>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</si>
  <si>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</si>
  <si>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</si>
  <si>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</si>
  <si>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</si>
  <si>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</si>
  <si>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Zdroj</t>
  </si>
  <si>
    <t>R</t>
  </si>
  <si>
    <t>Insolvenční rejstřík</t>
  </si>
  <si>
    <t>Číslo pol.</t>
  </si>
  <si>
    <t>Vlastní kapitál (vlastní zdroje)</t>
  </si>
  <si>
    <t>B.</t>
  </si>
  <si>
    <t>A.VI.23</t>
  </si>
  <si>
    <t>A.V.18</t>
  </si>
  <si>
    <t>žadatel</t>
  </si>
  <si>
    <t>D.</t>
  </si>
  <si>
    <t>Vyberte variantu</t>
  </si>
  <si>
    <t>Ážio</t>
  </si>
  <si>
    <t>Celkem</t>
  </si>
  <si>
    <t>I.</t>
  </si>
  <si>
    <t>II.</t>
  </si>
  <si>
    <t>malé a střední, velké</t>
  </si>
  <si>
    <t>ažio</t>
  </si>
  <si>
    <t>A.II.I</t>
  </si>
  <si>
    <t>Právní forma žadatele</t>
  </si>
  <si>
    <t>Název žadatele</t>
  </si>
  <si>
    <t>Výsledek hosp. běž.úč. období</t>
  </si>
  <si>
    <t>Výsledek hosp. před zdaněním</t>
  </si>
  <si>
    <t>Výsledek hosp. minulých let</t>
  </si>
  <si>
    <t>není relevantní</t>
  </si>
  <si>
    <t>dle vyhlášky č. 325/2015 Sb.</t>
  </si>
  <si>
    <t>Rozvaha / Přehled o majetku a závazcích</t>
  </si>
  <si>
    <t>VZaZ / Přehled o příjmech a výdajích</t>
  </si>
  <si>
    <t>Míra zadluženosti</t>
  </si>
  <si>
    <t>Ukazatel úrokového krytí</t>
  </si>
  <si>
    <r>
      <t xml:space="preserve">Relevantní kritéria </t>
    </r>
    <r>
      <rPr>
        <sz val="11"/>
        <color theme="1"/>
        <rFont val="Arial"/>
        <family val="2"/>
        <charset val="238"/>
      </rPr>
      <t>pro vyplnění</t>
    </r>
  </si>
  <si>
    <t>PMaZ</t>
  </si>
  <si>
    <t>PPaV</t>
  </si>
  <si>
    <t>A.10</t>
  </si>
  <si>
    <t>PMaZ_A.10 mínus PPaV_B.99</t>
  </si>
  <si>
    <t>PMaZ + PPaV</t>
  </si>
  <si>
    <t>B.99</t>
  </si>
  <si>
    <t>B.03</t>
  </si>
  <si>
    <t>Č. pol.</t>
  </si>
  <si>
    <t>Závazky</t>
  </si>
  <si>
    <t>E.1.1</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</si>
  <si>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</si>
  <si>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</si>
  <si>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</si>
  <si>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</si>
  <si>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</si>
  <si>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</si>
  <si>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</si>
  <si>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</si>
  <si>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</si>
  <si>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B - kritérium stavu vlastního kapitálu - společníci ručí za závazky</t>
  </si>
  <si>
    <t>A - kritérium stavu vlastního kapitálu - příjemci s ručením omezeným</t>
  </si>
  <si>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</si>
  <si>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</si>
  <si>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</si>
  <si>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</si>
  <si>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</si>
  <si>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</si>
  <si>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</si>
  <si>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</si>
  <si>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</si>
  <si>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</si>
  <si>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</si>
  <si>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</si>
  <si>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</si>
  <si>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</si>
  <si>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</si>
  <si>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</si>
  <si>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</si>
  <si>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</si>
  <si>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</si>
  <si>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</si>
  <si>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</si>
  <si>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</si>
  <si>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</si>
  <si>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</si>
  <si>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</si>
  <si>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</si>
  <si>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</si>
  <si>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</si>
  <si>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</si>
  <si>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</si>
  <si>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</si>
  <si>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</si>
  <si>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</si>
  <si>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</si>
  <si>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</si>
  <si>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</si>
  <si>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</si>
  <si>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</si>
  <si>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</si>
  <si>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</si>
  <si>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</si>
  <si>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</si>
  <si>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</si>
  <si>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</si>
  <si>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</si>
  <si>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</si>
  <si>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</si>
  <si>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</si>
  <si>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</si>
  <si>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</si>
  <si>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</si>
  <si>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</si>
  <si>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</si>
  <si>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</si>
  <si>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</si>
  <si>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</si>
  <si>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</si>
  <si>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</si>
  <si>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</si>
  <si>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</si>
  <si>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</si>
  <si>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</si>
  <si>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</si>
  <si>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Splňuje žadatel kritéria pro zahájení kolektivního úpadkového řízení?</t>
  </si>
  <si>
    <t>Obdržel žadatel podporu na restrukturalizaci a stále se na něj uplatňuje plán restrukturalizace?</t>
  </si>
  <si>
    <t>Vyberte právní formu</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</si>
  <si>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</si>
  <si>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</si>
  <si>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</si>
  <si>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</si>
  <si>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</si>
  <si>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</si>
  <si>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</si>
  <si>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</si>
  <si>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</si>
  <si>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</si>
  <si>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</si>
  <si>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</si>
  <si>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</si>
  <si>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</si>
  <si>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</si>
  <si>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</si>
  <si>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</si>
  <si>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</si>
  <si>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</si>
  <si>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</si>
  <si>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</si>
  <si>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</si>
  <si>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</si>
  <si>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</si>
  <si>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</si>
  <si>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</si>
  <si>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</si>
  <si>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</si>
  <si>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</si>
  <si>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</si>
  <si>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</si>
  <si>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</si>
  <si>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</si>
  <si>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</si>
  <si>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</si>
  <si>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</si>
  <si>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</si>
  <si>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</si>
  <si>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</si>
  <si>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</si>
  <si>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</si>
  <si>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</si>
  <si>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</si>
  <si>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</si>
  <si>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</si>
  <si>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</si>
  <si>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</si>
  <si>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</si>
  <si>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</si>
  <si>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</si>
  <si>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</si>
  <si>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</si>
  <si>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A. *)</t>
  </si>
  <si>
    <t>C. *)</t>
  </si>
  <si>
    <t>A.II *)</t>
  </si>
  <si>
    <t>C.III *)</t>
  </si>
  <si>
    <t>A.II.1 *)</t>
  </si>
  <si>
    <t>C.III.1 *)</t>
  </si>
  <si>
    <t>Má žadatel základní kapitál nebo minimální kapitálový požadavek dle příslušných vnitrostátních právních předpisů?</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</si>
  <si>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</si>
  <si>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</si>
  <si>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t>
  </si>
  <si>
    <t>* nevytváří-li žadatel základní kapitál a ážio, ponechá se nevyplněné</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</si>
  <si>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</si>
  <si>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</si>
  <si>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</si>
  <si>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</si>
  <si>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Veřejný subjekt</t>
  </si>
  <si>
    <t>Datum vzniku (dd.mm.rrrr)</t>
  </si>
  <si>
    <t>Poslední uzavřený účetní rok žadatele</t>
  </si>
  <si>
    <t>Je žadatel součástí skupiny propojených podniků?</t>
  </si>
  <si>
    <t>Platné od 1.1.2024</t>
  </si>
  <si>
    <t>Tato část má pouze informační charakter.</t>
  </si>
  <si>
    <r>
      <t>KROK 3:</t>
    </r>
    <r>
      <rPr>
        <sz val="11"/>
        <color rgb="FFFF0000"/>
        <rFont val="Calibri"/>
        <family val="2"/>
        <charset val="238"/>
        <scheme val="minor"/>
      </rPr>
      <t xml:space="preserve"> Odpovězte na všechny otázky (tento krok nelze přeskočit).</t>
    </r>
  </si>
  <si>
    <r>
      <t>KROK 2:</t>
    </r>
    <r>
      <rPr>
        <sz val="11"/>
        <color rgb="FFFF0000"/>
        <rFont val="Calibri"/>
        <family val="2"/>
        <charset val="238"/>
        <scheme val="minor"/>
      </rPr>
      <t xml:space="preserve"> Vyplňte tuto identifikační část.</t>
    </r>
  </si>
  <si>
    <t>Je skupina jako celek malý, nebo střední podnik (MSP)?</t>
  </si>
  <si>
    <r>
      <t xml:space="preserve">KROK 4: </t>
    </r>
    <r>
      <rPr>
        <sz val="11"/>
        <color rgb="FFFF0000"/>
        <rFont val="Calibri"/>
        <family val="2"/>
        <charset val="238"/>
        <scheme val="minor"/>
      </rPr>
      <t>Vyplňte níže v tabulkách tato Relevantní kritéria (viz zobrazená písmena).</t>
    </r>
  </si>
  <si>
    <r>
      <t xml:space="preserve">Má žadatel základní kapitál nebo minimální kapitálový požadavek dle příslušných vnitrostátních právních předpisů?
</t>
    </r>
    <r>
      <rPr>
        <sz val="9"/>
        <color theme="1"/>
        <rFont val="Arial"/>
        <family val="2"/>
        <charset val="238"/>
      </rPr>
      <t xml:space="preserve">Např. s.r.o. má minimální kapitálový požadavek 1 Kč. V takovém případě bude odpověď "ANO".
Obdobně je min. kapitálový požadavek u družstva, a.s., SE, SCE a v dalších společnostech. 
Oproti výše uvedeným, k.s. nebo v.o.s. nemá minimální kapitálový požadavek. </t>
    </r>
  </si>
  <si>
    <r>
      <t xml:space="preserve">Podnikatelská historie žadatele je </t>
    </r>
    <r>
      <rPr>
        <b/>
        <u/>
        <sz val="11"/>
        <rFont val="Arial"/>
        <family val="2"/>
        <charset val="238"/>
      </rPr>
      <t>kratší</t>
    </r>
    <r>
      <rPr>
        <b/>
        <sz val="11"/>
        <rFont val="Arial"/>
        <family val="2"/>
        <charset val="238"/>
      </rPr>
      <t xml:space="preserve"> než 3 roky od data podání žádosti?</t>
    </r>
  </si>
  <si>
    <t>odkaz na příslušnou vyhlášku</t>
  </si>
  <si>
    <r>
      <t xml:space="preserve">Ručí alespoň jeden ze společníků </t>
    </r>
    <r>
      <rPr>
        <b/>
        <u/>
        <sz val="11"/>
        <color theme="1"/>
        <rFont val="Arial"/>
        <family val="2"/>
        <charset val="238"/>
      </rPr>
      <t>plně</t>
    </r>
    <r>
      <rPr>
        <b/>
        <sz val="11"/>
        <color theme="1"/>
        <rFont val="Arial"/>
        <family val="2"/>
        <charset val="238"/>
      </rPr>
      <t xml:space="preserve"> za závazky žadatele?
</t>
    </r>
    <r>
      <rPr>
        <sz val="9"/>
        <color theme="1"/>
        <rFont val="Arial"/>
        <family val="2"/>
        <charset val="238"/>
      </rPr>
      <t>Společníci v s.r.o. ručí pouze omezeně do výše ZK, v takovém případě bude odpověď "NE".
Obdobně tomu bude u družstva, a.s., SE, SCE a v dalších společnostech.
A např. společníci v k.s. nebo v.o.s. ručí celým svým jměním, v takovém případě bude odpověď "ANO".</t>
    </r>
  </si>
  <si>
    <r>
      <rPr>
        <b/>
        <sz val="11"/>
        <color rgb="FFFF0000"/>
        <rFont val="Calibri"/>
        <family val="2"/>
        <charset val="238"/>
        <scheme val="minor"/>
      </rPr>
      <t>KROK 5:</t>
    </r>
    <r>
      <rPr>
        <sz val="11"/>
        <color rgb="FFFF0000"/>
        <rFont val="Calibri"/>
        <family val="2"/>
        <charset val="238"/>
        <scheme val="minor"/>
      </rPr>
      <t xml:space="preserve"> Zde je výsledek testu pouze za žadatele.</t>
    </r>
  </si>
  <si>
    <t>Vyberte varinatu</t>
  </si>
  <si>
    <t>Uveďte údaje z konsolidované účetní závěrky, je-li k dispozici.</t>
  </si>
  <si>
    <t>Je žadatel za celou skupinu malý, nebo střední podnik (MSP)?</t>
  </si>
  <si>
    <r>
      <t xml:space="preserve">Ručí alespoň jeden ze společníků </t>
    </r>
    <r>
      <rPr>
        <b/>
        <u/>
        <sz val="11"/>
        <color theme="1"/>
        <rFont val="Arial"/>
        <family val="2"/>
        <charset val="238"/>
      </rPr>
      <t>plně</t>
    </r>
    <r>
      <rPr>
        <b/>
        <sz val="11"/>
        <color theme="1"/>
        <rFont val="Arial"/>
        <family val="2"/>
        <charset val="238"/>
      </rPr>
      <t xml:space="preserve"> za závazky žadatele?</t>
    </r>
  </si>
  <si>
    <t>Daňovka</t>
  </si>
  <si>
    <t>Podnikatel</t>
  </si>
  <si>
    <t xml:space="preserve">Nepodnikatel </t>
  </si>
  <si>
    <t>Název žadatele (automatické doplnění do skupiny):</t>
  </si>
  <si>
    <t>IČ žadatele (automatické doplnění do skupiny):</t>
  </si>
  <si>
    <t>Nepodnikatel</t>
  </si>
  <si>
    <t>Počet znaků</t>
  </si>
  <si>
    <t>Výsledek doplnění:</t>
  </si>
  <si>
    <t>Formulář pro posouzení podniku v obtížích - Žadatel</t>
  </si>
  <si>
    <t>Poslední uzavřený účetní rok (formát RRRR)</t>
  </si>
  <si>
    <t>Poslední uzavřený účetní rok žadatele (automatické doplnění do skupiny):</t>
  </si>
  <si>
    <t>Poslední uzavřený účetní rok</t>
  </si>
  <si>
    <t>Účetnictví, dle Vyhlášky č. 500/2002 Sb.</t>
  </si>
  <si>
    <t>Účetnictví, dle Vyhlášky č. 410/2009 Sb.</t>
  </si>
  <si>
    <t>Účetnictví, dle Vyhlášky č. 501/2002 Sb.</t>
  </si>
  <si>
    <t>Účetnictví, dle Vyhlášky č. 502/2002 Sb.</t>
  </si>
  <si>
    <t>Účetnictví, dle Vyhlášky č. 503/2002 Sb.</t>
  </si>
  <si>
    <t xml:space="preserve">Účetnictví, dle Vyhlášky č. 504/2002 Sb. </t>
  </si>
  <si>
    <t>Daňová evidence</t>
  </si>
  <si>
    <t>FOP - Paušální daň</t>
  </si>
  <si>
    <t>FOP - Paušální výdaje</t>
  </si>
  <si>
    <t>NIC</t>
  </si>
  <si>
    <t>A - kritérium stavu vlastního kapitálu příjemci s ručením omezeným (dle vyhlášky č. 501/2002 Sb.)</t>
  </si>
  <si>
    <t>B - kritérium stavu vlastního kapitálu - společníci ručí za závazky (dle vyhlášky č. 501/2002 Sb.)</t>
  </si>
  <si>
    <t>8.</t>
  </si>
  <si>
    <t>9.</t>
  </si>
  <si>
    <t>8.+9.+10.+12. +14.+15.</t>
  </si>
  <si>
    <t>14.</t>
  </si>
  <si>
    <t>15.</t>
  </si>
  <si>
    <t>R_PAS</t>
  </si>
  <si>
    <t>1.+2.+3.+4.</t>
  </si>
  <si>
    <t>11.</t>
  </si>
  <si>
    <t>2.</t>
  </si>
  <si>
    <t>19.</t>
  </si>
  <si>
    <t>A.I.</t>
  </si>
  <si>
    <t>A.II.</t>
  </si>
  <si>
    <t>VI.</t>
  </si>
  <si>
    <t>A.VII.</t>
  </si>
  <si>
    <t>G.</t>
  </si>
  <si>
    <t>III. 5a)</t>
  </si>
  <si>
    <t>III.16. mínus III.14. + III.15.</t>
  </si>
  <si>
    <t>A - kritérium stavu vlastního kapitálu příjemci s ručením omezeným (dle vyhlášky č. 502/2002 Sb.)</t>
  </si>
  <si>
    <t>B - kritérium stavu vlastního kapitálu - společníci ručí za závazky (dle vyhlášky č. 502/2002 Sb.)</t>
  </si>
  <si>
    <t>A.VI.</t>
  </si>
  <si>
    <t>b).</t>
  </si>
  <si>
    <t>II.3.a)</t>
  </si>
  <si>
    <t>8. mínus 7.</t>
  </si>
  <si>
    <t>A - kritérium stavu vlastního kapitálu příjemci s ručením omezeným (dle vyhlášky č. 500/2002 Sb.)</t>
  </si>
  <si>
    <t>B - kritérium stavu vlastního kapitálu - společníci ručí za závazky (dle vyhlášky č. 500/2002 Sb.)</t>
  </si>
  <si>
    <t>A - kritérium stavu vlastního kapitálu příjemci s ručením omezeným (dle vyhlášky č. 503/2002 Sb.)</t>
  </si>
  <si>
    <t>B - kritérium stavu vlastního kapitálu - společníci ručí za závazky (dle vyhlášky č. 503/2002 Sb.)</t>
  </si>
  <si>
    <t>Nevyplňovat - Nerelevantní pro účtování dle vyhlášky č. 410/2009 Sb.</t>
  </si>
  <si>
    <t>Nevyplňovat - Nerelevatní pro účtování dle vyhlášky č. 504/2002 Sb.</t>
  </si>
  <si>
    <t>B - kritérium stavu vlastního kapitálu - společníci ručí za závazky (dle vyhlášky č. 410/2009 Sb.)</t>
  </si>
  <si>
    <t>B - kritérium stavu vlastního kapitálu - společníci ručí za závazky (dle vyhlášky č. 504/2002 Sb.)</t>
  </si>
  <si>
    <t>A - kritérium stavu vlastního kapitálu - společníci neručí za závazky (dle vyhlášky č. 504/2002 Sb.)</t>
  </si>
  <si>
    <t>Podmíněné formátování</t>
  </si>
  <si>
    <t>První nápověda zde:</t>
  </si>
  <si>
    <t>Druhá nápověda zde:</t>
  </si>
  <si>
    <t>Bylo zahájeno vůči příjemci kolektivní úpadkové řízení?*</t>
  </si>
  <si>
    <t>Splňuje žadatel kritéria pro zahájení kolektivního úpadkového řízení?*</t>
  </si>
  <si>
    <t>* je-li úpadkové řízení vyloučeno ze zákona - vyberte variantu "Ne"</t>
  </si>
  <si>
    <t>K Neznámu 177/28, Praha 8 Kobylisy. 100 00</t>
  </si>
  <si>
    <t>(PODVOJNÉ) ÚČETNICTVÍ</t>
  </si>
  <si>
    <t>JEDNODUCHÉ ÚČETNICTVÍ</t>
  </si>
  <si>
    <t>DAŇOVÁ EVIDENCE</t>
  </si>
  <si>
    <t>PAUŠÁLNÍ (VÝDAJE, NEBO DAŇ)</t>
  </si>
  <si>
    <t>Test Podniku v obtížích (PvO) - pro programy v Národní rozvojové bance, a.s.</t>
  </si>
  <si>
    <t>Krok 1:</t>
  </si>
  <si>
    <t xml:space="preserve">JEDNODUCHÉ ÚČETNICTVÍ </t>
  </si>
  <si>
    <t>banky; spořitelní a úvěrní družstva; obchodníci s cenými papíry; investiční společnosti; investiční fondy; penzijní společnosti; instituce elektronických peněz; platební instituce</t>
  </si>
  <si>
    <t>Bez zaokrouhlení</t>
  </si>
  <si>
    <t>Zaokrouhleno na tisíce</t>
  </si>
  <si>
    <t>pojišťovky</t>
  </si>
  <si>
    <t>právní
formy</t>
  </si>
  <si>
    <t>OSVČ, která neúčtuje v soustavě jednoduchého nebo podvojného účetnictví nebo nevykazuje paušální výdaje.</t>
  </si>
  <si>
    <t>OSVČ, která neúčtuje v soustavě jednoduchého nebo podvojného účetnictví a nevede daňovou evidenci</t>
  </si>
  <si>
    <t>PAUŠÁLNÍ VÝDAJE 
A PAUŠÁLNÍ DAŇ</t>
  </si>
  <si>
    <t xml:space="preserve">Podle které vyhlášky eviduje žadatel své účetnictví?  </t>
  </si>
  <si>
    <r>
      <t xml:space="preserve">Ručí alespoň jeden ze společníků (členů) </t>
    </r>
    <r>
      <rPr>
        <b/>
        <u/>
        <sz val="11"/>
        <color theme="1"/>
        <rFont val="Arial"/>
        <family val="2"/>
        <charset val="238"/>
      </rPr>
      <t>plně</t>
    </r>
    <r>
      <rPr>
        <b/>
        <sz val="11"/>
        <color theme="1"/>
        <rFont val="Arial"/>
        <family val="2"/>
        <charset val="238"/>
      </rPr>
      <t xml:space="preserve"> za závazky žadatele?
</t>
    </r>
    <r>
      <rPr>
        <sz val="9"/>
        <color theme="1"/>
        <rFont val="Arial"/>
        <family val="2"/>
        <charset val="238"/>
      </rPr>
      <t>Například OSVČ ručí celým svým jměním, tzn. OSVČ odpoví "ANO". Členové honebního společenstva ručí za veškeré závazky honebního společenstva, tzn. taktéž odpoví "ANO".</t>
    </r>
  </si>
  <si>
    <r>
      <t xml:space="preserve">Ručí alespoň jeden ze společníků (členů) </t>
    </r>
    <r>
      <rPr>
        <b/>
        <u/>
        <sz val="11"/>
        <color theme="1"/>
        <rFont val="Arial"/>
        <family val="2"/>
        <charset val="238"/>
      </rPr>
      <t>plně</t>
    </r>
    <r>
      <rPr>
        <b/>
        <sz val="11"/>
        <color theme="1"/>
        <rFont val="Arial"/>
        <family val="2"/>
        <charset val="238"/>
      </rPr>
      <t xml:space="preserve"> za závazky žadatele?
</t>
    </r>
    <r>
      <rPr>
        <sz val="9"/>
        <color theme="1"/>
        <rFont val="Arial"/>
        <family val="2"/>
        <charset val="238"/>
      </rPr>
      <t>OSVČ ručí celým svým jměním, tzn. OSVČ odpoví "ANO". Členové honebního společenstva ručí za veškeré závazky honebního společenstva, tzn. taktéž odpoví "ANO".</t>
    </r>
  </si>
  <si>
    <t>Žadatel v níže uvedených tabulkách vyplňuje (zaokrouhlená / nezaokrouhlená) data:</t>
  </si>
  <si>
    <t xml:space="preserve">(podnikatelké subjekty podléhající kritériu "A") </t>
  </si>
  <si>
    <t xml:space="preserve">(podnikatelské subjekty podléhající kritériu "B") </t>
  </si>
  <si>
    <t>Není relevantní pro výpočet kritérií "A", "B" a "E". Subjekt podstoupí pouze kritéria "C" a "D".</t>
  </si>
  <si>
    <t xml:space="preserve">(Neziskové organizace) </t>
  </si>
  <si>
    <t xml:space="preserve">(OSVČ) </t>
  </si>
  <si>
    <t>Využijí se všechna relevantní data z daňové evidence o příjmech, výdajích, pohledávkách, závazcích, případně další doplňující údaje poskytnuté žadatelem o podporu, který vede daňovou evidenci.</t>
  </si>
  <si>
    <t>zdravotní pojišťovny</t>
  </si>
  <si>
    <t>organizační složky státu;  územní samosprávné celky, svazy obcí a regionální rady regionů soudržnosti, příspěvkové organizace, rozpočtové organizace, státní fondy</t>
  </si>
  <si>
    <t>spolky, odborové organizace, náboženská společenství, pobočné spolky nebo honební společenstva, které nevedou (podvojné) účetnictví ani daňovou evidenci (vedou jednoduché účetnictví). 
OSVČ, která neúčtuje v soustavě jednoduchého nebo podvojného účetnictví nebo nevykazuje paušální výdaje.</t>
  </si>
  <si>
    <t>doplňující údaj z účetn (jednod. Účetnictví) /daňové evidence, který není ve výkazech podniku</t>
  </si>
  <si>
    <t>nákladové úroky (placené)</t>
  </si>
  <si>
    <t>d</t>
  </si>
  <si>
    <r>
      <t xml:space="preserve">Je pouze žadatel (bez skupiny) malý, nebo střední podnik (MSP)?
</t>
    </r>
    <r>
      <rPr>
        <u/>
        <sz val="9"/>
        <color theme="1"/>
        <rFont val="Arial"/>
        <family val="2"/>
        <charset val="238"/>
      </rPr>
      <t>Zjedodušení:</t>
    </r>
    <r>
      <rPr>
        <sz val="9"/>
        <color theme="1"/>
        <rFont val="Arial"/>
        <family val="2"/>
        <charset val="238"/>
      </rPr>
      <t xml:space="preserve"> "Zaměstnává žadatel méně než 250 zaměstnanců? Pokud ano, je MSP.</t>
    </r>
  </si>
  <si>
    <t>Je žadatel (bez skupiny) malý, nebo střední podnik (MSP)?</t>
  </si>
  <si>
    <t>Přehled všech použitých vstupů pro výpočty v jednotlivých tabulkách</t>
  </si>
  <si>
    <t>(A.10)</t>
  </si>
  <si>
    <t>(B.99)</t>
  </si>
  <si>
    <t>(B.03)</t>
  </si>
  <si>
    <t xml:space="preserve">akciové společnosti;
společnosti s ručením omezeným;
družstva; státní podniky; evropské družstevní společnosti; jiné formy s omezenou formou ručení společníků (členů), veřejná obchodní společnost (pokud vytváří základní kapitál); komanditní společnost (pokud vytváří základní kapitál). </t>
  </si>
  <si>
    <t>OSVČ, která nevede jednoduché účetnictí, daňovou evidenci nebo nevykazuje paušální výdaje; a jiné formy, kde alespoň jeden ze společníků (členů) plně ručí za závazky; veřejná obchodní společnost (pokud nevytvoří základní kapitál); komanditní společnost (pokud nevytváří základní kapitál).</t>
  </si>
  <si>
    <t>Počítá se na listu ÚČETNICTVÍ (výpočet je úplně stejný pro všechny)</t>
  </si>
  <si>
    <t>spolky, politické strany a hnutí; církve a náboženské společnosti; obecně prospěšné společnosti; zájmové sdružení právnických osob; nadace, nadační fondy a ústavy; společenství vlastníků jednotek; veřejné vysoké škody; veřejné výzkumní instituce; a další</t>
  </si>
  <si>
    <t>Nevím</t>
  </si>
  <si>
    <r>
      <t>Je žadatel</t>
    </r>
    <r>
      <rPr>
        <b/>
        <u/>
        <sz val="11"/>
        <color theme="1"/>
        <rFont val="Arial"/>
        <family val="2"/>
        <charset val="238"/>
      </rPr>
      <t xml:space="preserve"> včetně skupiny</t>
    </r>
    <r>
      <rPr>
        <b/>
        <sz val="11"/>
        <color theme="1"/>
        <rFont val="Arial"/>
        <family val="2"/>
        <charset val="238"/>
      </rPr>
      <t xml:space="preserve"> malý, nebo střední podnik (MSP)?</t>
    </r>
  </si>
  <si>
    <r>
      <rPr>
        <b/>
        <sz val="11"/>
        <color theme="1"/>
        <rFont val="Arial"/>
        <family val="2"/>
        <charset val="238"/>
      </rPr>
      <t xml:space="preserve">Podniky podléhající </t>
    </r>
    <r>
      <rPr>
        <b/>
        <sz val="20"/>
        <color theme="1"/>
        <rFont val="Arial"/>
        <family val="2"/>
        <charset val="238"/>
      </rPr>
      <t>kritériu A</t>
    </r>
    <r>
      <rPr>
        <sz val="20"/>
        <color theme="1"/>
        <rFont val="Arial"/>
        <family val="2"/>
        <charset val="238"/>
      </rPr>
      <t xml:space="preserve"> </t>
    </r>
  </si>
  <si>
    <r>
      <rPr>
        <b/>
        <sz val="11"/>
        <color theme="1"/>
        <rFont val="Arial"/>
        <family val="2"/>
        <charset val="238"/>
      </rPr>
      <t xml:space="preserve">Podniky podléhající </t>
    </r>
    <r>
      <rPr>
        <b/>
        <sz val="18"/>
        <color theme="1"/>
        <rFont val="Arial"/>
        <family val="2"/>
        <charset val="238"/>
      </rPr>
      <t>kritériu B</t>
    </r>
    <r>
      <rPr>
        <sz val="11"/>
        <color theme="1"/>
        <rFont val="Arial"/>
        <family val="2"/>
        <charset val="238"/>
      </rPr>
      <t xml:space="preserve"> </t>
    </r>
  </si>
  <si>
    <r>
      <t xml:space="preserve">Podniky </t>
    </r>
    <r>
      <rPr>
        <b/>
        <sz val="18"/>
        <rFont val="Arial"/>
        <family val="2"/>
        <charset val="238"/>
      </rPr>
      <t>nepodléhající kritériu A ani kritériu B</t>
    </r>
  </si>
  <si>
    <r>
      <t>Podnikatelská historie žadatele</t>
    </r>
    <r>
      <rPr>
        <b/>
        <u/>
        <sz val="11"/>
        <rFont val="Arial"/>
        <family val="2"/>
        <charset val="238"/>
      </rPr>
      <t xml:space="preserve"> a všech členů skupiny</t>
    </r>
    <r>
      <rPr>
        <b/>
        <sz val="11"/>
        <rFont val="Arial"/>
        <family val="2"/>
        <charset val="238"/>
      </rPr>
      <t xml:space="preserve"> je kratší než 3 roky od data podání žádosti?</t>
    </r>
    <r>
      <rPr>
        <sz val="11"/>
        <rFont val="Arial"/>
        <family val="2"/>
        <charset val="238"/>
      </rPr>
      <t xml:space="preserve"> (Pokud je jeden ze členů skupiny starší než 3 roky, odpověď je "NE")</t>
    </r>
  </si>
  <si>
    <t>Právnická osoba</t>
  </si>
  <si>
    <t>Fyzická osoba podnikající</t>
  </si>
  <si>
    <t xml:space="preserve">Jakou právní subjektivitu má žadatel? </t>
  </si>
  <si>
    <t>Pomocné řazení pro list ÚČETNICTVÍ</t>
  </si>
  <si>
    <t>Pokud je to právnická osoba nebo fyzická osoba</t>
  </si>
  <si>
    <t>Nejprve toto je kopie odpovědí</t>
  </si>
  <si>
    <t>Právní subjektivita?</t>
  </si>
  <si>
    <t xml:space="preserve">Má žadatel základní kapitál? </t>
  </si>
  <si>
    <t>ZDE VÝSLEDEK</t>
  </si>
  <si>
    <r>
      <t xml:space="preserve">Má žadatel základní kapitál nebo minimální kapitálový požadavek dle příslušných vnitrostátních právních předpisů? 
</t>
    </r>
    <r>
      <rPr>
        <sz val="9"/>
        <color theme="1"/>
        <rFont val="Arial"/>
        <family val="2"/>
        <charset val="238"/>
      </rPr>
      <t xml:space="preserve">Např.: s.r.o. má minimální kapitálový požadavek 1 Kč. V takovém případě bude odpověď "ANO". Obdobně je min. kapitálový požadavek u družstva, a.s., SE, SCE a v dalších společnostech. 
Veřená obchodní společnost (v.o.s.) vždy odpoví "ANO" (základní kapitál je zjištěn v předchozí otázce).
Komanditní společnost (k.s.) vždy odpoví "ANO" (základní kapitál je zjištěn v předchozí otázce).
OSVČ s (podvojným) účetnictvím odpoví "NE".  </t>
    </r>
  </si>
  <si>
    <t>Nyní klikněte na soustavu účetnictví žadatele - dojde k přesměrování na příslušný list.</t>
  </si>
  <si>
    <t>Datum vyplnění tohoto formuláře (dd.mm.rrrr)</t>
  </si>
  <si>
    <t>Rok -1</t>
  </si>
  <si>
    <t>Rok z datumu vyplnění</t>
  </si>
  <si>
    <t xml:space="preserve">Způsob podání daňového přiznání za účetní období: </t>
  </si>
  <si>
    <t>Věta:</t>
  </si>
  <si>
    <t>Žadatel elektronicky (do 30.4.)</t>
  </si>
  <si>
    <t>Žadatel vede hospodářský rok</t>
  </si>
  <si>
    <t>Posledním MOŽNÝM uzavřeným rokem je:</t>
  </si>
  <si>
    <t>Skutečným uzavřeným rokem je:</t>
  </si>
  <si>
    <t>když je vyšší než 2000</t>
  </si>
  <si>
    <t>Rok-2</t>
  </si>
  <si>
    <t>Určení datumu na listu Účetnictví</t>
  </si>
  <si>
    <t>A - kritérium stavu vlastního kapitálu - společníci neručí za závazky (dle vyhlášky č. 410/2009 Sb.)</t>
  </si>
  <si>
    <t>Daňový poradce/Auditor (do 30.6.)</t>
  </si>
  <si>
    <t>Žadatel vznikl v letošním roce</t>
  </si>
  <si>
    <t xml:space="preserve">Žadatel podal (tj. uzavřel) daňové přiznání za účetní období: </t>
  </si>
  <si>
    <t>Věty spojené:</t>
  </si>
  <si>
    <t>Roky v číselníku v listu SKUPINA:</t>
  </si>
  <si>
    <r>
      <rPr>
        <b/>
        <sz val="11"/>
        <color theme="1"/>
        <rFont val="Arial"/>
        <family val="2"/>
        <charset val="238"/>
      </rPr>
      <t>Rok N-1</t>
    </r>
    <r>
      <rPr>
        <sz val="10"/>
        <color theme="1"/>
        <rFont val="Arial"/>
        <family val="2"/>
        <charset val="238"/>
      </rPr>
      <t xml:space="preserve">
Nejaktuálnější učetně uzavřené období mínus 1 rok</t>
    </r>
  </si>
  <si>
    <t>Rok N</t>
  </si>
  <si>
    <t>Úprava ROK N (aby tam byl text)</t>
  </si>
  <si>
    <t>LIST ÚČETNICTVÍ</t>
  </si>
  <si>
    <t>Rok N-1</t>
  </si>
  <si>
    <t>Podniky s Hospodářským rokem - Kritérium A</t>
  </si>
  <si>
    <t>Když je vyšší než 0, tak obsahuje podnik s hospodářským rokem</t>
  </si>
  <si>
    <t>Podniky s Hospodářským rokem - Kritérium B</t>
  </si>
  <si>
    <t>Podniky s Hospodářským rokem - Kritérium ani A a ani B</t>
  </si>
  <si>
    <t>PvO - Test žadatele (bez skupiny) vedoucí účetnictví</t>
  </si>
  <si>
    <t>PvO - Test žadatele (bez skupiny) vedoucí jednoduché účetnictví</t>
  </si>
  <si>
    <t>PvO - Test žadatele (bez skupiny) vedoucí daňovou evidenci</t>
  </si>
  <si>
    <t>PvO - Test žadatele (bez skupiny) vedoucí paušální daň, nebo paušální výdaje</t>
  </si>
  <si>
    <r>
      <rPr>
        <b/>
        <sz val="11"/>
        <color rgb="FFFF0000"/>
        <rFont val="Arial"/>
        <family val="2"/>
        <charset val="238"/>
      </rPr>
      <t>Krok 4:</t>
    </r>
    <r>
      <rPr>
        <sz val="11"/>
        <color rgb="FFFF0000"/>
        <rFont val="Arial"/>
        <family val="2"/>
        <charset val="238"/>
      </rPr>
      <t xml:space="preserve"> Výsledek testu.</t>
    </r>
  </si>
  <si>
    <t>SKUPINA PODNIKŮ</t>
  </si>
  <si>
    <r>
      <rPr>
        <b/>
        <sz val="11"/>
        <color rgb="FFFF0000"/>
        <rFont val="Arial"/>
        <family val="2"/>
        <charset val="238"/>
      </rPr>
      <t xml:space="preserve">Krok 3: </t>
    </r>
    <r>
      <rPr>
        <sz val="11"/>
        <color rgb="FFFF0000"/>
        <rFont val="Arial"/>
        <family val="2"/>
        <charset val="238"/>
      </rPr>
      <t xml:space="preserve">
Vyplňte tato písmena.</t>
    </r>
  </si>
  <si>
    <t>Vede-li podnik hospodářký rok, zaškrtněte symbol ▯,  vede-li kalendářní rok, nezaškrtávejte symbol.</t>
  </si>
  <si>
    <t xml:space="preserve">Poznámka k vyplnění: </t>
  </si>
  <si>
    <t>III.A</t>
  </si>
  <si>
    <t>III.B</t>
  </si>
  <si>
    <t>III.C</t>
  </si>
  <si>
    <t>IV.</t>
  </si>
  <si>
    <t xml:space="preserve">Pokyn k vyplnění: </t>
  </si>
  <si>
    <t>b) údaje za jednotlivé podniky patřící do skupiny.</t>
  </si>
  <si>
    <t>PvO - Test žadatele včetně skupiny</t>
  </si>
  <si>
    <t>Do krytérií (část III.) se vpisují údaje za celou skupinu podniků následujícím způsobem:</t>
  </si>
  <si>
    <t>Toto je pomocná tabulka k vyplnění (v plném znění na listu PŘEHLED).</t>
  </si>
  <si>
    <t>a) Na první místo vždy vložte název a data za žadatele – má-li žadatel údaje z konsolidované účetní závěrky s dalšími podniky, vložte rovnou konsolidovanou účetní závěrku,</t>
  </si>
  <si>
    <t>Je žadatel o podporu podnikem v obtížích? 
(Je splněno některé z relevantních kritérií A až E?)</t>
  </si>
  <si>
    <t>ROK PRVNÍ</t>
  </si>
  <si>
    <t>ROK DRUHÝ</t>
  </si>
  <si>
    <t>Podnik</t>
  </si>
  <si>
    <t>Je rovno?</t>
  </si>
  <si>
    <t>Pouze rok 2023 Vlastní kapitál</t>
  </si>
  <si>
    <t>Pouze rok 2022 Vlastní kapitál</t>
  </si>
  <si>
    <t>VK za PRVNÍ ROK</t>
  </si>
  <si>
    <t>VK za DRUHÝ ROK</t>
  </si>
  <si>
    <t>Závazky za rok 2023</t>
  </si>
  <si>
    <t>Závazky za rok 2022</t>
  </si>
  <si>
    <t>Závazky R1</t>
  </si>
  <si>
    <t>Závazky R2</t>
  </si>
  <si>
    <t>Odpisy za rok 2023</t>
  </si>
  <si>
    <t>Odpisy za rok 2022</t>
  </si>
  <si>
    <t>Odpisy R1</t>
  </si>
  <si>
    <t>Odpisy R2</t>
  </si>
  <si>
    <t>Nákladové úroky 2023</t>
  </si>
  <si>
    <t>Nákladové úroky 2022</t>
  </si>
  <si>
    <t>Nákl úrok R1</t>
  </si>
  <si>
    <t>Nákl úrok R2</t>
  </si>
  <si>
    <t>Výsledek hosp. před zdaň 2023</t>
  </si>
  <si>
    <t>Výsledek hosp. před zdaň 2022</t>
  </si>
  <si>
    <t>Výsledek H. R1</t>
  </si>
  <si>
    <t>Výsledek H. R2</t>
  </si>
  <si>
    <t>Text výsledek:</t>
  </si>
  <si>
    <t xml:space="preserve">Výhradně rok </t>
  </si>
  <si>
    <t>Je písmeno E relevantní?</t>
  </si>
  <si>
    <t>Má se zobrazit rozšíření?</t>
  </si>
  <si>
    <t>Kombinovaný rok N</t>
  </si>
  <si>
    <t>Má se vizuálně zobrazit?</t>
  </si>
  <si>
    <t>Doplňující se text - Poznámky k vyplnění.</t>
  </si>
  <si>
    <t>Doplňující se text - Pokyn k vyplnění:</t>
  </si>
  <si>
    <t>Když odpověď 2x ANO, tak 1, jinak 0</t>
  </si>
  <si>
    <t>Text k vyplnění:</t>
  </si>
  <si>
    <t>Test PvO v nejistotě. Protože došlo ke kombinaci let v roce N i v roce N-1, a výsledek testu byl dle písmena E pozitivní, Banka považuje žadatele za PvO do doby, dokud nebudou mít všichni členové skupiny uzavřená svá účetní období a žadatel nevyplní znova list Skupina podniků za celou skupinu.</t>
  </si>
  <si>
    <t>Obdržel žadatel podporu na záchranu a zatím nesplatil půjčku či neukončil záruku?</t>
  </si>
  <si>
    <t>Krok 8.</t>
  </si>
  <si>
    <t>Níže uvedené hodnoty se doplní zcela automaticky.</t>
  </si>
  <si>
    <r>
      <t xml:space="preserve">V předchozím bodě II. bylo vyplněno, že žadatel je MSP (tzn. byl hodnocen pomocí Přílohy MSP) a zároveň je podnikatelská historie </t>
    </r>
    <r>
      <rPr>
        <u/>
        <sz val="12"/>
        <color theme="1"/>
        <rFont val="Arial"/>
        <family val="2"/>
        <charset val="238"/>
      </rPr>
      <t>všech</t>
    </r>
    <r>
      <rPr>
        <sz val="12"/>
        <color theme="1"/>
        <rFont val="Arial"/>
        <family val="2"/>
        <charset val="238"/>
      </rPr>
      <t xml:space="preserve"> členů ve skupině (ve smyslu "jeden podnik") kratší než 3 roky. Taková skupina (dle pravidel PvO) nemůže být testována, resp. bude testováno pouze písmeno C a D.</t>
    </r>
  </si>
  <si>
    <t>DŮLEŽITÉ POKUD DOCHÁZÍ K EDITACI A ZMĚNÁM V TOMTO SOUBORU</t>
  </si>
  <si>
    <t>Pokud např. dochází k přidávání řádků, vždy je nutné jej realizovat uprostřed tabulky (mezi podnikem 5. a 6.)</t>
  </si>
  <si>
    <t>Poté je nutné otestovat, i jestli se zkopírovalo Formátování tabulky</t>
  </si>
  <si>
    <t>Pozor! Tím, že byl přidán další řádek, pravděpodobně nebudou fungovat automatické doplňování</t>
  </si>
  <si>
    <t>Testu písmene C a D (kdy odpovídá ano/ne). Je nuté to otestovat!!!</t>
  </si>
  <si>
    <r>
      <t xml:space="preserve">Ručí alespoň jeden ze společníků (členů) plně za závazky žadatele? 
</t>
    </r>
    <r>
      <rPr>
        <sz val="9"/>
        <color theme="1"/>
        <rFont val="Arial"/>
        <family val="2"/>
        <charset val="238"/>
      </rPr>
      <t xml:space="preserve">Např.: splečníci v s.r.o. ručí pouze omezeně do výše ZK, v takovém případě bude odpověď "NE". Obdobně tomu bude u družstva, a.s., SE, SCE a v dalších společnostech. Veřejná obchodní společnost ( v.o.s)  pokud tvoří základní kapitál - odpoví "NE", pokud netvoří základní kapitál - odpoví "ANO". Pro komanditní společnost (k.s.) pokud tvoří základní kapitál (členové mají finanční vkladovou povinnost) - odpoví "NE", pokud netvoří základní kapitál - odpoví "ANO".
OSVČ s (podvojným) účetnictvím odpoví "ANO". </t>
    </r>
  </si>
  <si>
    <t>Má se má alternativa počítat?</t>
  </si>
  <si>
    <t>ROK1</t>
  </si>
  <si>
    <t>ROK2</t>
  </si>
  <si>
    <t>1 = nedošlo ke kombinaci let, 2 = došlo</t>
  </si>
  <si>
    <t>Má smysl to rozdělovat?</t>
  </si>
  <si>
    <t>Toto, jestli se má zobrazit a počítat alternativa</t>
  </si>
  <si>
    <t>Závěr, má se počítat?</t>
  </si>
  <si>
    <t>Součet čísel</t>
  </si>
  <si>
    <t>E - kritérium v případě kombinace let:</t>
  </si>
  <si>
    <t>Je hodnota vyplněna?</t>
  </si>
  <si>
    <t>Je rok vyplněn?</t>
  </si>
  <si>
    <t>Když je kritérium E splněno (alespoň z jednoho, tak 1, jinak 0</t>
  </si>
  <si>
    <r>
      <rPr>
        <b/>
        <sz val="11"/>
        <color rgb="FFFF0000"/>
        <rFont val="Arial"/>
        <family val="2"/>
        <charset val="238"/>
      </rPr>
      <t>Krok 9:</t>
    </r>
    <r>
      <rPr>
        <sz val="11"/>
        <color rgb="FFFF0000"/>
        <rFont val="Arial"/>
        <family val="2"/>
        <charset val="238"/>
      </rPr>
      <t xml:space="preserve"> Výsledek testu za celou skupinu.</t>
    </r>
  </si>
  <si>
    <r>
      <rPr>
        <b/>
        <sz val="11"/>
        <color rgb="FFFF0000"/>
        <rFont val="Arial"/>
        <family val="2"/>
        <charset val="238"/>
      </rPr>
      <t>Krok 2:</t>
    </r>
    <r>
      <rPr>
        <sz val="11"/>
        <color rgb="FFFF0000"/>
        <rFont val="Arial"/>
        <family val="2"/>
        <charset val="238"/>
      </rPr>
      <t xml:space="preserve"> Nyní vyplňte celou úvodní část I. (otázky nelze přeskočit). Vyplňujte vždy bíle buňky.</t>
    </r>
  </si>
  <si>
    <r>
      <rPr>
        <b/>
        <sz val="11"/>
        <color rgb="FFFF0000"/>
        <rFont val="Arial"/>
        <family val="2"/>
        <charset val="238"/>
      </rPr>
      <t>Krok 2:</t>
    </r>
    <r>
      <rPr>
        <sz val="11"/>
        <color rgb="FFFF0000"/>
        <rFont val="Arial"/>
        <family val="2"/>
        <charset val="238"/>
      </rPr>
      <t xml:space="preserve"> Nyní vyplňte celou úvodní část a odpovězte na všechny otázky (otázky nelze přeskočit). Vyplňujte vždy bílé buňky.</t>
    </r>
  </si>
  <si>
    <r>
      <rPr>
        <b/>
        <sz val="11"/>
        <color rgb="FFFF0000"/>
        <rFont val="Arial"/>
        <family val="2"/>
        <charset val="238"/>
      </rPr>
      <t>Krok 6:</t>
    </r>
    <r>
      <rPr>
        <sz val="11"/>
        <color rgb="FFFF0000"/>
        <rFont val="Arial"/>
        <family val="2"/>
        <charset val="238"/>
      </rPr>
      <t xml:space="preserve"> Odpovězte na otázky. Vyplňujte vždy bílé buňky.</t>
    </r>
  </si>
  <si>
    <t>Posledním MOŽNÝM uzavřeným rokem je</t>
  </si>
  <si>
    <t>Určení datumu na listu Jednoduché účetnictví</t>
  </si>
  <si>
    <t>Určení datumu na listu Daňová evidence</t>
  </si>
  <si>
    <t>Určení datumu na listu Paušální (výdaje, daň)</t>
  </si>
  <si>
    <t>Poslední MOŽNÝ účetní rok žadatele (automatické doplnění do skupiny):</t>
  </si>
  <si>
    <t>Posledním možným uzvařeným rokem je:</t>
  </si>
  <si>
    <t xml:space="preserve">               Rozvaha / Přehled o majetku a závazcích</t>
  </si>
  <si>
    <r>
      <rPr>
        <b/>
        <sz val="11"/>
        <color rgb="FFFF0000"/>
        <rFont val="Arial"/>
        <family val="2"/>
        <charset val="238"/>
      </rPr>
      <t xml:space="preserve">Krok 7: </t>
    </r>
    <r>
      <rPr>
        <sz val="11"/>
        <color rgb="FFFF0000"/>
        <rFont val="Arial"/>
        <family val="2"/>
        <charset val="238"/>
      </rPr>
      <t>Vyplňte tyto tabulky podle výše uvedeného pokynu. Vyplňujte pouze bílé buňky.</t>
    </r>
  </si>
  <si>
    <r>
      <rPr>
        <b/>
        <sz val="11"/>
        <color theme="1"/>
        <rFont val="Arial"/>
        <family val="2"/>
        <charset val="238"/>
      </rPr>
      <t>Rok N</t>
    </r>
    <r>
      <rPr>
        <sz val="10"/>
        <color theme="1"/>
        <rFont val="Arial"/>
        <family val="2"/>
        <charset val="238"/>
      </rPr>
      <t xml:space="preserve">
Vyberte vždy nejaktuálnější možné učetně </t>
    </r>
    <r>
      <rPr>
        <u/>
        <sz val="10"/>
        <color theme="1"/>
        <rFont val="Arial"/>
        <family val="2"/>
        <charset val="238"/>
      </rPr>
      <t>uzavřené</t>
    </r>
    <r>
      <rPr>
        <sz val="10"/>
        <color theme="1"/>
        <rFont val="Arial"/>
        <family val="2"/>
        <charset val="238"/>
      </rPr>
      <t xml:space="preserve"> období</t>
    </r>
  </si>
  <si>
    <r>
      <t xml:space="preserve">Rok N 
</t>
    </r>
    <r>
      <rPr>
        <sz val="10"/>
        <color theme="1"/>
        <rFont val="Arial"/>
        <family val="2"/>
        <charset val="238"/>
      </rPr>
      <t xml:space="preserve">Vyberte vždy nejaktuálnější možné učetně </t>
    </r>
    <r>
      <rPr>
        <u/>
        <sz val="10"/>
        <color theme="1"/>
        <rFont val="Arial"/>
        <family val="2"/>
        <charset val="238"/>
      </rPr>
      <t>uzavřené</t>
    </r>
    <r>
      <rPr>
        <sz val="10"/>
        <color theme="1"/>
        <rFont val="Arial"/>
        <family val="2"/>
        <charset val="238"/>
      </rPr>
      <t xml:space="preserve"> období</t>
    </r>
  </si>
  <si>
    <r>
      <rPr>
        <b/>
        <sz val="11"/>
        <color theme="1"/>
        <rFont val="Arial"/>
        <family val="2"/>
        <charset val="238"/>
      </rPr>
      <t>Rok N</t>
    </r>
    <r>
      <rPr>
        <sz val="11"/>
        <color theme="1"/>
        <rFont val="Arial"/>
        <family val="2"/>
        <charset val="238"/>
      </rPr>
      <t xml:space="preserve"> 
</t>
    </r>
    <r>
      <rPr>
        <sz val="10"/>
        <color theme="1"/>
        <rFont val="Arial"/>
        <family val="2"/>
        <charset val="238"/>
      </rPr>
      <t xml:space="preserve">Vyberte vždy nejaktuálnější možné učetně </t>
    </r>
    <r>
      <rPr>
        <u/>
        <sz val="10"/>
        <color theme="1"/>
        <rFont val="Arial"/>
        <family val="2"/>
        <charset val="238"/>
      </rPr>
      <t>uzavřené</t>
    </r>
    <r>
      <rPr>
        <sz val="10"/>
        <color theme="1"/>
        <rFont val="Arial"/>
        <family val="2"/>
        <charset val="238"/>
      </rPr>
      <t xml:space="preserve"> období</t>
    </r>
  </si>
  <si>
    <t xml:space="preserve">                Rozvaha / Přehled o majetku a závazcích</t>
  </si>
  <si>
    <t xml:space="preserve">              Rozvaha / Přehled o majetku a závazcích</t>
  </si>
  <si>
    <t>Původní označení roků</t>
  </si>
  <si>
    <t>Podnik 1.</t>
  </si>
  <si>
    <t>Podnik 2.</t>
  </si>
  <si>
    <t>Podnik 3.</t>
  </si>
  <si>
    <t>Podnik 4.</t>
  </si>
  <si>
    <t>Podnik 5.</t>
  </si>
  <si>
    <t>Podnik 6.</t>
  </si>
  <si>
    <t>Podnik 7.</t>
  </si>
  <si>
    <t>Podnik 8.</t>
  </si>
  <si>
    <t>Podnik 9.</t>
  </si>
  <si>
    <t>Podnik 10.</t>
  </si>
  <si>
    <t>Obdržel žadatel podporu na záchranu a zatím nesplatil tuto půjčku nebo neukončil záruku (podpory na záchranu)?</t>
  </si>
  <si>
    <t>Obdržel žadatel podporu na záchranu a zatím nesplatil tuto půjčku nebo neukončil záruku (podopry na záchranu)?</t>
  </si>
  <si>
    <t>Níže uvedené tabulky (část III.) představují ruční konsolidaci účetních závěrek podniků ve skupině (ve smyslu "jeden podnik"). Rozsah této skupiny by se měl překrývat s vymezením "propojených podniků" dle čl. 3 Přílohy I GBER – Definice MSP (viz Příloha MSP). Pokud mezi subjekty vymezenými v MSP jsou i "partnerské podniky", tyto podniky se nepovažují za skupinu (ve smyslu "jeden podnik"), proto nebudou níže v tabulkách uvedeny.</t>
  </si>
  <si>
    <t>Volné pole pro poznámky (použijte dle potřeby):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</si>
</sst>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2"/>
      <color theme="1"/>
      <name val="Calibri"/>
      <family val="2"/>
      <charset val="238"/>
      <scheme val="minor"/>
    </font>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sz val="11"/>
      <color rgb="FFFF0000"/>
      <name val="Calibri"/>
      <family val="2"/>
      <charset val="238"/>
      <scheme val="minor"/>
    </font>
    <font>
      <sz val="12"/>
      <color rgb="FFFF0000"/>
      <name val="Arial"/>
      <family val="2"/>
      <charset val="238"/>
    </font>
    <font>
      <sz val="11"/>
      <name val="Calibri"/>
      <family val="2"/>
      <charset val="238"/>
      <scheme val="minor"/>
    </font>
    <font>
      <b/>
      <sz val="11"/>
      <color rgb="FFFF0000"/>
      <name val="Calibri"/>
      <family val="2"/>
      <charset val="238"/>
      <scheme val="minor"/>
    </font>
    <font>
      <b/>
      <sz val="11"/>
      <color rgb="FFFF0000"/>
      <name val="Arial"/>
      <family val="2"/>
      <charset val="238"/>
    </font>
    <font>
      <sz val="9"/>
      <color theme="1"/>
      <name val="Arial"/>
      <family val="2"/>
      <charset val="238"/>
    </font>
    <font>
      <b/>
      <u/>
      <sz val="11"/>
      <color theme="1"/>
      <name val="Arial"/>
      <family val="2"/>
      <charset val="238"/>
    </font>
    <font>
      <b/>
      <u/>
      <sz val="11"/>
      <name val="Arial"/>
      <family val="2"/>
      <charset val="238"/>
    </font>
    <font>
      <sz val="11"/>
      <color rgb="FFFF0000"/>
      <name val="Arial"/>
      <family val="2"/>
      <charset val="238"/>
    </font>
    <font>
      <sz val="12"/>
      <color theme="1"/>
      <name val="Arial"/>
      <family val="2"/>
      <charset val="238"/>
    </font>
    <font>
      <u/>
      <sz val="9"/>
      <color theme="1"/>
      <name val="Arial"/>
      <family val="2"/>
      <charset val="238"/>
    </font>
    <font>
      <b/>
      <sz val="18"/>
      <color theme="1"/>
      <name val="Arial"/>
      <family val="2"/>
      <charset val="238"/>
    </font>
    <font>
      <b/>
      <sz val="12"/>
      <color rgb="FFFF0000"/>
      <name val="Arial"/>
      <family val="2"/>
      <charset val="238"/>
    </font>
    <font>
      <b/>
      <sz val="20"/>
      <color theme="1"/>
      <name val="Arial"/>
      <family val="2"/>
      <charset val="238"/>
    </font>
    <font>
      <sz val="20"/>
      <color theme="1"/>
      <name val="Arial"/>
      <family val="2"/>
      <charset val="238"/>
    </font>
    <font>
      <b/>
      <sz val="18"/>
      <name val="Arial"/>
      <family val="2"/>
      <charset val="238"/>
    </font>
    <font>
      <b/>
      <sz val="12"/>
      <color theme="1"/>
      <name val="Calibri"/>
      <family val="2"/>
      <charset val="238"/>
      <scheme val="minor"/>
    </font>
    <font>
      <b/>
      <sz val="10"/>
      <color theme="1"/>
      <name val="Arial"/>
      <family val="2"/>
      <charset val="238"/>
    </font>
    <font>
      <sz val="10"/>
      <color rgb="FF000000"/>
      <name val="Arial"/>
      <family val="2"/>
      <charset val="238"/>
    </font>
    <font>
      <sz val="12"/>
      <color rgb="FFFF0000"/>
      <name val="Calibri"/>
      <family val="2"/>
      <charset val="238"/>
      <scheme val="minor"/>
    </font>
    <font>
      <u/>
      <sz val="12"/>
      <color theme="1"/>
      <name val="Arial"/>
      <family val="2"/>
      <charset val="238"/>
    </font>
    <font>
      <b/>
      <sz val="12"/>
      <color theme="1"/>
      <name val="Arial"/>
      <family val="2"/>
      <charset val="238"/>
    </font>
    <font>
      <sz val="11"/>
      <color theme="5"/>
      <name val="Arial"/>
      <family val="2"/>
      <charset val="238"/>
    </font>
    <font>
      <sz val="12"/>
      <color theme="5"/>
      <name val="Calibri"/>
      <family val="2"/>
      <charset val="238"/>
    </font>
    <font>
      <sz val="11"/>
      <color theme="7" tint="-0.249977111117893"/>
      <name val="Arial"/>
      <family val="2"/>
      <charset val="238"/>
    </font>
    <font>
      <sz val="11"/>
      <color rgb="FFC00000"/>
      <name val="Arial"/>
      <family val="2"/>
      <charset val="238"/>
    </font>
    <font>
      <b/>
      <sz val="12"/>
      <name val="Arial"/>
      <family val="2"/>
      <charset val="238"/>
    </font>
    <font>
      <u/>
      <sz val="10"/>
      <color theme="1"/>
      <name val="Arial"/>
      <family val="2"/>
      <charset val="238"/>
    </font>
    <font>
      <sz val="9"/>
      <color indexed="81"/>
      <name val="Tahoma"/>
      <charset val="1"/>
    </font>
    <font>
      <b/>
      <sz val="11"/>
      <color indexed="81"/>
      <name val="Tahoma"/>
      <family val="2"/>
      <charset val="238"/>
    </font>
    <font>
      <sz val="10"/>
      <color indexed="81"/>
      <name val="Tahoma"/>
      <family val="2"/>
      <charset val="238"/>
    </font>
    <font>
      <b/>
      <sz val="12"/>
      <color indexed="81"/>
      <name val="Tahoma"/>
      <family val="2"/>
      <charset val="238"/>
    </font>
    <font>
      <sz val="9"/>
      <color indexed="81"/>
      <name val="Tahoma"/>
      <family val="2"/>
      <charset val="238"/>
    </font>
    <font>
      <i/>
      <sz val="10"/>
      <color indexed="81"/>
      <name val="Tahoma"/>
      <family val="2"/>
      <charset val="238"/>
    </font>
    <font>
      <i/>
      <sz val="11"/>
      <color indexed="81"/>
      <name val="Tahoma"/>
      <family val="2"/>
      <charset val="238"/>
    </font>
    <font>
      <b/>
      <sz val="9"/>
      <color indexed="81"/>
      <name val="Tahoma"/>
      <charset val="1"/>
    </font>
    <font>
      <b/>
      <sz val="10"/>
      <color indexed="81"/>
      <name val="Tahoma"/>
      <family val="2"/>
      <charset val="238"/>
    </font>
    <font>
      <sz val="12"/>
      <name val="Arial"/>
      <family val="2"/>
      <charset val="238"/>
    </font>
  </fonts>
  <fills count="31">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AD2DC"/>
        <bgColor indexed="64"/>
      </patternFill>
    </fill>
    <fill>
      <patternFill patternType="solid">
        <fgColor rgb="FFFFFFCC"/>
        <bgColor indexed="64"/>
      </patternFill>
    </fill>
    <fill>
      <patternFill patternType="solid">
        <fgColor rgb="FFD0CECE"/>
        <bgColor indexed="64"/>
      </patternFill>
    </fill>
    <fill>
      <patternFill patternType="solid">
        <fgColor rgb="FFE7E6E6"/>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D6BBEB"/>
        <bgColor indexed="64"/>
      </patternFill>
    </fill>
    <fill>
      <patternFill patternType="solid">
        <fgColor rgb="FFFF9393"/>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3F3F3"/>
        <bgColor indexed="64"/>
      </patternFill>
    </fill>
    <fill>
      <patternFill patternType="solid">
        <fgColor rgb="FFECECE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s>
  <cellStyleXfs count="5">
    <xf numFmtId="0" fontId="0" fillId="0" borderId="0"/>
    <xf numFmtId="0" fontId="5" fillId="0" borderId="0" applyNumberFormat="0" applyFill="0" applyBorder="0" applyAlignment="0" applyProtection="0"/>
    <xf numFmtId="0" fontId="6" fillId="0" borderId="0"/>
    <xf numFmtId="0" fontId="7" fillId="0" borderId="0"/>
    <xf numFmtId="0" fontId="8" fillId="0" borderId="0"/>
  </cellStyleXfs>
  <cellXfs count="765">
    <xf numFmtId="0" fontId="0" fillId="0" borderId="0" xfId="0"/>
    <xf numFmtId="3" fontId="10" fillId="0" borderId="1" xfId="0" applyNumberFormat="1" applyFont="1" applyBorder="1" applyAlignment="1" applyProtection="1">
      <alignment horizontal="right" vertical="center"/>
      <protection locked="0"/>
    </xf>
    <xf numFmtId="3" fontId="10" fillId="0" borderId="13" xfId="0" applyNumberFormat="1" applyFont="1" applyBorder="1" applyAlignment="1" applyProtection="1">
      <alignment horizontal="right" vertical="center"/>
      <protection locked="0"/>
    </xf>
    <xf numFmtId="0" fontId="11" fillId="0" borderId="13"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wrapText="1"/>
      <protection locked="0"/>
    </xf>
    <xf numFmtId="0" fontId="10" fillId="0" borderId="0" xfId="0" applyFont="1" applyAlignment="1">
      <alignment vertical="center"/>
    </xf>
    <xf numFmtId="2" fontId="10" fillId="4" borderId="1" xfId="0" applyNumberFormat="1" applyFont="1" applyFill="1" applyBorder="1" applyAlignment="1">
      <alignment horizontal="center" vertical="center"/>
    </xf>
    <xf numFmtId="2" fontId="10" fillId="4" borderId="13" xfId="0" applyNumberFormat="1"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1" fillId="0" borderId="0" xfId="0" applyFont="1" applyAlignment="1">
      <alignment vertical="center" wrapText="1"/>
    </xf>
    <xf numFmtId="0" fontId="10" fillId="0" borderId="0" xfId="0" applyFont="1" applyAlignment="1">
      <alignment vertical="center" wrapText="1"/>
    </xf>
    <xf numFmtId="0" fontId="10" fillId="0" borderId="4" xfId="0" applyFont="1" applyBorder="1" applyAlignment="1">
      <alignment horizontal="center" vertical="center"/>
    </xf>
    <xf numFmtId="0" fontId="11" fillId="0" borderId="0" xfId="0" applyFont="1" applyAlignment="1">
      <alignment horizontal="center" vertical="center"/>
    </xf>
    <xf numFmtId="0" fontId="12" fillId="0" borderId="4" xfId="0" applyFont="1" applyBorder="1" applyAlignment="1">
      <alignment horizontal="center" vertical="center"/>
    </xf>
    <xf numFmtId="0" fontId="10" fillId="0" borderId="0" xfId="0" applyFont="1" applyAlignment="1">
      <alignment horizontal="center" vertical="center" wrapText="1"/>
    </xf>
    <xf numFmtId="0" fontId="11" fillId="4" borderId="12" xfId="0" applyFont="1" applyFill="1" applyBorder="1" applyAlignment="1">
      <alignmen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0" fillId="0" borderId="0" xfId="0" applyFont="1" applyAlignment="1">
      <alignment horizontal="center" vertical="center"/>
    </xf>
    <xf numFmtId="0" fontId="15" fillId="2" borderId="9" xfId="0" applyFont="1" applyFill="1" applyBorder="1" applyAlignment="1">
      <alignment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0" fillId="0" borderId="16" xfId="0" applyFont="1" applyBorder="1" applyAlignment="1">
      <alignment horizontal="center" vertical="center"/>
    </xf>
    <xf numFmtId="0" fontId="10" fillId="2" borderId="4" xfId="0" applyFont="1" applyFill="1" applyBorder="1" applyAlignment="1">
      <alignment horizontal="center" vertical="center" wrapText="1"/>
    </xf>
    <xf numFmtId="0" fontId="15" fillId="2" borderId="9"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4" borderId="12"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2" fillId="0" borderId="0" xfId="0" applyFont="1" applyAlignment="1">
      <alignment horizontal="center" vertical="center"/>
    </xf>
    <xf numFmtId="0" fontId="12" fillId="2" borderId="13" xfId="0" applyFont="1" applyFill="1" applyBorder="1" applyAlignment="1">
      <alignment horizontal="center" vertical="center"/>
    </xf>
    <xf numFmtId="14" fontId="11" fillId="0" borderId="0" xfId="0" applyNumberFormat="1" applyFont="1" applyAlignment="1">
      <alignment horizontal="center" vertical="center"/>
    </xf>
    <xf numFmtId="0" fontId="9" fillId="0" borderId="0" xfId="0" applyFont="1" applyAlignment="1">
      <alignment vertical="center"/>
    </xf>
    <xf numFmtId="0" fontId="12" fillId="0" borderId="0" xfId="0" applyFont="1" applyAlignment="1">
      <alignment horizontal="center" vertical="center" wrapText="1"/>
    </xf>
    <xf numFmtId="0" fontId="10" fillId="2" borderId="1" xfId="0" applyFont="1" applyFill="1" applyBorder="1" applyAlignment="1">
      <alignment horizontal="center" vertical="center"/>
    </xf>
    <xf numFmtId="0" fontId="10" fillId="4" borderId="56" xfId="0" applyFont="1" applyFill="1" applyBorder="1" applyAlignment="1">
      <alignment vertical="center" wrapText="1"/>
    </xf>
    <xf numFmtId="0" fontId="10" fillId="4" borderId="61" xfId="0" applyFont="1" applyFill="1" applyBorder="1" applyAlignment="1">
      <alignment horizontal="center" vertical="center" wrapText="1"/>
    </xf>
    <xf numFmtId="0" fontId="11" fillId="4" borderId="61" xfId="0" applyFont="1" applyFill="1" applyBorder="1" applyAlignment="1">
      <alignment horizontal="center" vertical="center"/>
    </xf>
    <xf numFmtId="0" fontId="10" fillId="4" borderId="61" xfId="0" applyFont="1" applyFill="1" applyBorder="1" applyAlignment="1">
      <alignment horizontal="center" vertical="center"/>
    </xf>
    <xf numFmtId="3" fontId="10" fillId="0" borderId="13" xfId="0" applyNumberFormat="1" applyFont="1" applyBorder="1" applyAlignment="1" applyProtection="1">
      <alignment horizontal="right" vertical="center" wrapText="1"/>
      <protection locked="0"/>
    </xf>
    <xf numFmtId="0" fontId="29" fillId="0" borderId="0" xfId="0" applyFont="1" applyAlignment="1">
      <alignment vertical="center"/>
    </xf>
    <xf numFmtId="0" fontId="11" fillId="4" borderId="12" xfId="0" applyFont="1" applyFill="1" applyBorder="1" applyAlignment="1">
      <alignment horizontal="left" vertical="center" wrapText="1"/>
    </xf>
    <xf numFmtId="0" fontId="15" fillId="2" borderId="10" xfId="0" applyFont="1" applyFill="1" applyBorder="1" applyAlignment="1">
      <alignment horizontal="center" vertical="center" wrapText="1"/>
    </xf>
    <xf numFmtId="0" fontId="11" fillId="4" borderId="14" xfId="0" applyFont="1" applyFill="1" applyBorder="1" applyAlignment="1">
      <alignment horizontal="left" vertical="center" wrapText="1"/>
    </xf>
    <xf numFmtId="0" fontId="12" fillId="0" borderId="0" xfId="0" applyFont="1" applyAlignment="1">
      <alignment vertical="center" wrapText="1"/>
    </xf>
    <xf numFmtId="0" fontId="24" fillId="0" borderId="0" xfId="0" applyFont="1" applyAlignment="1">
      <alignment horizontal="left" vertical="center" indent="2"/>
    </xf>
    <xf numFmtId="3" fontId="10" fillId="0" borderId="1" xfId="0" applyNumberFormat="1" applyFont="1" applyBorder="1" applyAlignment="1">
      <alignment horizontal="right" vertical="center"/>
    </xf>
    <xf numFmtId="3" fontId="10" fillId="0" borderId="13" xfId="0" applyNumberFormat="1" applyFont="1" applyBorder="1" applyAlignment="1">
      <alignment horizontal="right" vertical="center"/>
    </xf>
    <xf numFmtId="3" fontId="11" fillId="0" borderId="1" xfId="0" applyNumberFormat="1" applyFont="1" applyBorder="1" applyAlignment="1">
      <alignment horizontal="right" vertical="center"/>
    </xf>
    <xf numFmtId="3" fontId="11" fillId="0" borderId="13" xfId="0" applyNumberFormat="1" applyFont="1" applyBorder="1" applyAlignment="1">
      <alignment horizontal="right" vertical="center"/>
    </xf>
    <xf numFmtId="3" fontId="11" fillId="0" borderId="59" xfId="0" applyNumberFormat="1" applyFont="1" applyBorder="1" applyAlignment="1">
      <alignment horizontal="right" vertical="center"/>
    </xf>
    <xf numFmtId="0" fontId="0" fillId="0" borderId="13" xfId="0" applyBorder="1"/>
    <xf numFmtId="0" fontId="21" fillId="0" borderId="45" xfId="0" applyFont="1" applyBorder="1" applyAlignment="1">
      <alignment horizontal="left" vertical="center" indent="2"/>
    </xf>
    <xf numFmtId="0" fontId="15" fillId="0" borderId="0" xfId="0" applyFont="1"/>
    <xf numFmtId="0" fontId="4" fillId="0" borderId="0" xfId="0" applyFont="1" applyAlignment="1">
      <alignment horizontal="center"/>
    </xf>
    <xf numFmtId="0" fontId="12" fillId="0" borderId="0" xfId="0" applyFont="1"/>
    <xf numFmtId="0" fontId="4" fillId="0" borderId="0" xfId="0" applyFont="1"/>
    <xf numFmtId="0" fontId="18" fillId="0" borderId="1" xfId="0" applyFont="1" applyBorder="1"/>
    <xf numFmtId="0" fontId="8" fillId="0" borderId="1" xfId="0" applyFont="1" applyBorder="1" applyAlignment="1">
      <alignment vertical="center"/>
    </xf>
    <xf numFmtId="0" fontId="8" fillId="0" borderId="1" xfId="0" applyFont="1" applyBorder="1" applyAlignment="1">
      <alignment vertical="center" wrapText="1"/>
    </xf>
    <xf numFmtId="0" fontId="8" fillId="0" borderId="0" xfId="0" applyFont="1" applyAlignment="1">
      <alignment vertical="center"/>
    </xf>
    <xf numFmtId="0" fontId="19" fillId="0" borderId="1" xfId="0" applyFont="1" applyBorder="1" applyAlignment="1">
      <alignment vertical="center"/>
    </xf>
    <xf numFmtId="0" fontId="8" fillId="0" borderId="0" xfId="0" applyFont="1"/>
    <xf numFmtId="0" fontId="0" fillId="0" borderId="16" xfId="0" applyBorder="1"/>
    <xf numFmtId="0" fontId="10" fillId="0" borderId="54" xfId="0" applyFont="1" applyBorder="1" applyAlignment="1">
      <alignment horizontal="center" vertical="center"/>
    </xf>
    <xf numFmtId="0" fontId="0" fillId="0" borderId="6" xfId="0" applyBorder="1"/>
    <xf numFmtId="0" fontId="0" fillId="0" borderId="57" xfId="0" applyBorder="1"/>
    <xf numFmtId="0" fontId="0" fillId="0" borderId="1" xfId="0" applyBorder="1"/>
    <xf numFmtId="0" fontId="0" fillId="4" borderId="12" xfId="0" applyFill="1" applyBorder="1"/>
    <xf numFmtId="0" fontId="0" fillId="4" borderId="1" xfId="0" applyFill="1" applyBorder="1"/>
    <xf numFmtId="0" fontId="0" fillId="4" borderId="13" xfId="0" applyFill="1" applyBorder="1"/>
    <xf numFmtId="0" fontId="0" fillId="4" borderId="14" xfId="0" applyFill="1" applyBorder="1" applyAlignment="1">
      <alignment horizontal="right"/>
    </xf>
    <xf numFmtId="0" fontId="0" fillId="4" borderId="15" xfId="0" applyFill="1" applyBorder="1" applyAlignment="1">
      <alignment horizontal="right"/>
    </xf>
    <xf numFmtId="0" fontId="0" fillId="0" borderId="58" xfId="0" applyBorder="1"/>
    <xf numFmtId="0" fontId="5" fillId="0" borderId="6" xfId="1" applyBorder="1" applyAlignment="1" applyProtection="1">
      <alignment horizontal="center" vertical="center" wrapText="1"/>
    </xf>
    <xf numFmtId="0" fontId="13" fillId="17" borderId="6" xfId="1" applyFont="1" applyFill="1" applyBorder="1" applyAlignment="1" applyProtection="1">
      <alignment horizontal="center" vertical="center" wrapText="1"/>
    </xf>
    <xf numFmtId="0" fontId="5" fillId="17" borderId="40" xfId="1" applyFill="1" applyBorder="1" applyAlignment="1" applyProtection="1">
      <alignment horizontal="center" vertical="center" wrapText="1"/>
    </xf>
    <xf numFmtId="0" fontId="5" fillId="0" borderId="6" xfId="1" applyFill="1" applyBorder="1" applyAlignment="1" applyProtection="1">
      <alignment horizontal="center" vertical="center" wrapText="1"/>
    </xf>
    <xf numFmtId="0" fontId="5" fillId="0" borderId="57" xfId="1" applyFill="1" applyBorder="1" applyAlignment="1" applyProtection="1">
      <alignment horizontal="center" vertical="center" wrapText="1"/>
    </xf>
    <xf numFmtId="0" fontId="17" fillId="0" borderId="9" xfId="1" applyFont="1" applyBorder="1" applyAlignment="1" applyProtection="1">
      <alignment horizontal="center" vertical="center" wrapText="1"/>
    </xf>
    <xf numFmtId="0" fontId="5" fillId="0" borderId="11" xfId="1" applyBorder="1" applyAlignment="1" applyProtection="1">
      <alignment horizontal="center" vertical="center" wrapText="1"/>
    </xf>
    <xf numFmtId="0" fontId="32" fillId="0" borderId="0" xfId="0" applyFont="1" applyAlignment="1">
      <alignment vertical="top"/>
    </xf>
    <xf numFmtId="0" fontId="29" fillId="0" borderId="0" xfId="0" applyFont="1" applyAlignment="1">
      <alignment horizontal="left"/>
    </xf>
    <xf numFmtId="0" fontId="23" fillId="0" borderId="0" xfId="0" applyFont="1" applyAlignment="1">
      <alignment horizontal="left" vertical="center" indent="2"/>
    </xf>
    <xf numFmtId="14" fontId="23" fillId="0" borderId="0" xfId="0" applyNumberFormat="1" applyFont="1" applyAlignment="1">
      <alignment horizontal="left" vertical="center" indent="2"/>
    </xf>
    <xf numFmtId="0" fontId="21" fillId="0" borderId="0" xfId="0" applyFont="1" applyAlignment="1">
      <alignment horizontal="left" vertical="center" indent="2"/>
    </xf>
    <xf numFmtId="0" fontId="23" fillId="0" borderId="0" xfId="0" applyFont="1" applyAlignment="1">
      <alignment horizontal="left" vertical="center" wrapText="1" indent="2"/>
    </xf>
    <xf numFmtId="0" fontId="23" fillId="0" borderId="0" xfId="0" applyFont="1" applyAlignment="1">
      <alignment vertical="center" wrapText="1"/>
    </xf>
    <xf numFmtId="0" fontId="1" fillId="18" borderId="0" xfId="0" applyFont="1" applyFill="1" applyAlignment="1">
      <alignment vertical="center" wrapText="1"/>
    </xf>
    <xf numFmtId="0" fontId="0" fillId="0" borderId="47" xfId="0" applyBorder="1"/>
    <xf numFmtId="0" fontId="0" fillId="0" borderId="62" xfId="0" applyBorder="1"/>
    <xf numFmtId="0" fontId="0" fillId="0" borderId="67" xfId="0" applyBorder="1"/>
    <xf numFmtId="0" fontId="0" fillId="0" borderId="66" xfId="0" applyBorder="1"/>
    <xf numFmtId="0" fontId="0" fillId="0" borderId="69" xfId="0" applyBorder="1" applyAlignment="1">
      <alignment horizontal="right"/>
    </xf>
    <xf numFmtId="0" fontId="0" fillId="0" borderId="45" xfId="0" applyBorder="1"/>
    <xf numFmtId="0" fontId="0" fillId="0" borderId="64" xfId="0" applyBorder="1"/>
    <xf numFmtId="0" fontId="0" fillId="0" borderId="51" xfId="0" applyBorder="1"/>
    <xf numFmtId="0" fontId="0" fillId="0" borderId="44" xfId="0" applyBorder="1"/>
    <xf numFmtId="0" fontId="0" fillId="15" borderId="47" xfId="0" applyFill="1" applyBorder="1"/>
    <xf numFmtId="0" fontId="0" fillId="15" borderId="62" xfId="0" applyFill="1" applyBorder="1"/>
    <xf numFmtId="0" fontId="37" fillId="0" borderId="66" xfId="0" applyFont="1" applyBorder="1"/>
    <xf numFmtId="0" fontId="0" fillId="0" borderId="26" xfId="0" applyBorder="1"/>
    <xf numFmtId="0" fontId="0" fillId="0" borderId="69" xfId="0" applyBorder="1"/>
    <xf numFmtId="0" fontId="37" fillId="0" borderId="45" xfId="0" applyFont="1" applyBorder="1"/>
    <xf numFmtId="0" fontId="0" fillId="4" borderId="45" xfId="0" applyFill="1" applyBorder="1"/>
    <xf numFmtId="0" fontId="0" fillId="4" borderId="0" xfId="0" applyFill="1"/>
    <xf numFmtId="0" fontId="0" fillId="4" borderId="51" xfId="0" applyFill="1" applyBorder="1"/>
    <xf numFmtId="0" fontId="0" fillId="4" borderId="36" xfId="0" applyFill="1" applyBorder="1"/>
    <xf numFmtId="0" fontId="0" fillId="20" borderId="44" xfId="0" applyFill="1" applyBorder="1"/>
    <xf numFmtId="0" fontId="0" fillId="0" borderId="64" xfId="0" applyBorder="1" applyAlignment="1">
      <alignment horizontal="center" vertical="center"/>
    </xf>
    <xf numFmtId="0" fontId="11" fillId="0" borderId="66" xfId="0" applyFont="1" applyBorder="1" applyAlignment="1">
      <alignment horizontal="center" vertical="center"/>
    </xf>
    <xf numFmtId="0" fontId="11" fillId="0" borderId="26" xfId="0" applyFont="1" applyBorder="1" applyAlignment="1">
      <alignment horizontal="center" vertical="center"/>
    </xf>
    <xf numFmtId="0" fontId="11" fillId="16" borderId="45" xfId="0" applyFont="1" applyFill="1" applyBorder="1" applyAlignment="1">
      <alignment horizontal="center" vertical="center"/>
    </xf>
    <xf numFmtId="0" fontId="0" fillId="16" borderId="0" xfId="0" applyFill="1"/>
    <xf numFmtId="0" fontId="11" fillId="16" borderId="0" xfId="0" applyFont="1" applyFill="1" applyAlignment="1">
      <alignment horizontal="center" vertical="center"/>
    </xf>
    <xf numFmtId="14" fontId="11" fillId="0" borderId="45" xfId="0" applyNumberFormat="1" applyFont="1" applyBorder="1" applyAlignment="1">
      <alignment horizontal="center" vertical="center"/>
    </xf>
    <xf numFmtId="0" fontId="0" fillId="0" borderId="36" xfId="0" applyBorder="1"/>
    <xf numFmtId="0" fontId="0" fillId="0" borderId="69" xfId="0" applyBorder="1" applyAlignment="1">
      <alignment horizontal="center" vertical="center"/>
    </xf>
    <xf numFmtId="0" fontId="11" fillId="16" borderId="64" xfId="0" applyFont="1" applyFill="1" applyBorder="1" applyAlignment="1">
      <alignment horizontal="center" vertical="center"/>
    </xf>
    <xf numFmtId="0" fontId="11" fillId="0" borderId="64" xfId="0" applyFont="1" applyBorder="1" applyAlignment="1">
      <alignment vertical="center"/>
    </xf>
    <xf numFmtId="0" fontId="11" fillId="0" borderId="45" xfId="0" applyFont="1" applyBorder="1" applyAlignment="1">
      <alignment vertical="center"/>
    </xf>
    <xf numFmtId="0" fontId="11" fillId="16" borderId="45" xfId="0" applyFont="1" applyFill="1" applyBorder="1" applyAlignment="1">
      <alignment vertical="center"/>
    </xf>
    <xf numFmtId="14" fontId="11" fillId="0" borderId="64" xfId="0" applyNumberFormat="1" applyFont="1" applyBorder="1" applyAlignment="1">
      <alignment vertical="center"/>
    </xf>
    <xf numFmtId="0" fontId="12" fillId="7" borderId="70" xfId="0" applyFont="1" applyFill="1" applyBorder="1" applyAlignment="1">
      <alignment vertical="center" wrapText="1"/>
    </xf>
    <xf numFmtId="0" fontId="12" fillId="7" borderId="58" xfId="0" applyFont="1" applyFill="1" applyBorder="1" applyAlignment="1">
      <alignment vertical="center" wrapText="1"/>
    </xf>
    <xf numFmtId="3" fontId="10" fillId="0" borderId="6" xfId="0" applyNumberFormat="1" applyFont="1" applyBorder="1" applyAlignment="1" applyProtection="1">
      <alignment horizontal="right" vertical="center" wrapText="1"/>
      <protection locked="0"/>
    </xf>
    <xf numFmtId="3" fontId="10" fillId="0" borderId="57" xfId="0" applyNumberFormat="1" applyFont="1" applyBorder="1" applyAlignment="1" applyProtection="1">
      <alignment horizontal="right" vertical="center" wrapText="1"/>
      <protection locked="0"/>
    </xf>
    <xf numFmtId="0" fontId="12" fillId="2" borderId="34" xfId="0" applyFont="1" applyFill="1" applyBorder="1" applyAlignment="1">
      <alignment horizontal="center"/>
    </xf>
    <xf numFmtId="0" fontId="12" fillId="2" borderId="71" xfId="0" applyFont="1" applyFill="1" applyBorder="1" applyAlignment="1">
      <alignment horizontal="center"/>
    </xf>
    <xf numFmtId="0" fontId="12" fillId="2" borderId="40" xfId="0" applyFont="1" applyFill="1" applyBorder="1" applyAlignment="1">
      <alignment horizontal="center" vertical="top"/>
    </xf>
    <xf numFmtId="0" fontId="12" fillId="2" borderId="57" xfId="0" applyFont="1" applyFill="1" applyBorder="1" applyAlignment="1">
      <alignment horizontal="center" vertical="top"/>
    </xf>
    <xf numFmtId="0" fontId="29" fillId="18" borderId="0" xfId="0" applyFont="1" applyFill="1" applyAlignment="1">
      <alignment horizontal="left" vertical="center"/>
    </xf>
    <xf numFmtId="0" fontId="5" fillId="15" borderId="1" xfId="1" applyFill="1" applyBorder="1" applyAlignment="1" applyProtection="1">
      <alignment horizontal="center" vertical="center"/>
      <protection locked="0"/>
    </xf>
    <xf numFmtId="0" fontId="5" fillId="15" borderId="1" xfId="1" applyFill="1" applyBorder="1" applyAlignment="1" applyProtection="1">
      <alignment horizontal="center" vertical="center" wrapText="1"/>
      <protection locked="0"/>
    </xf>
    <xf numFmtId="0" fontId="10" fillId="0" borderId="12" xfId="0" applyFont="1" applyBorder="1" applyAlignment="1">
      <alignment horizontal="left" vertical="center"/>
    </xf>
    <xf numFmtId="0" fontId="12" fillId="2" borderId="6" xfId="0" applyFont="1" applyFill="1" applyBorder="1" applyAlignment="1">
      <alignment horizontal="center" vertical="top"/>
    </xf>
    <xf numFmtId="0" fontId="12" fillId="2" borderId="29" xfId="0" applyFont="1" applyFill="1" applyBorder="1" applyAlignment="1">
      <alignment horizontal="center"/>
    </xf>
    <xf numFmtId="0" fontId="37" fillId="26" borderId="0" xfId="0" applyFont="1" applyFill="1"/>
    <xf numFmtId="0" fontId="0" fillId="26" borderId="0" xfId="0" applyFill="1"/>
    <xf numFmtId="0" fontId="12" fillId="21" borderId="64" xfId="0" applyFont="1" applyFill="1" applyBorder="1" applyAlignment="1">
      <alignment horizontal="center" vertical="top"/>
    </xf>
    <xf numFmtId="0" fontId="32" fillId="0" borderId="0" xfId="0" applyFont="1" applyAlignment="1">
      <alignment vertical="center"/>
    </xf>
    <xf numFmtId="0" fontId="25" fillId="0" borderId="0" xfId="0" applyFont="1" applyAlignment="1">
      <alignment vertical="center"/>
    </xf>
    <xf numFmtId="0" fontId="30" fillId="0" borderId="13" xfId="0" applyFont="1" applyBorder="1" applyAlignment="1">
      <alignment horizontal="left"/>
    </xf>
    <xf numFmtId="0" fontId="29" fillId="0" borderId="0" xfId="0" applyFont="1" applyAlignment="1">
      <alignment horizontal="left" vertical="center" indent="1"/>
    </xf>
    <xf numFmtId="0" fontId="12" fillId="2" borderId="53" xfId="0" applyFont="1" applyFill="1" applyBorder="1" applyAlignment="1">
      <alignment vertical="center" wrapText="1"/>
    </xf>
    <xf numFmtId="0" fontId="12" fillId="2" borderId="46" xfId="0" applyFont="1" applyFill="1" applyBorder="1" applyAlignment="1">
      <alignment vertical="center" wrapText="1"/>
    </xf>
    <xf numFmtId="0" fontId="12" fillId="2" borderId="42" xfId="0" applyFont="1" applyFill="1" applyBorder="1" applyAlignment="1">
      <alignment vertical="center" wrapText="1"/>
    </xf>
    <xf numFmtId="0" fontId="11" fillId="16" borderId="1" xfId="0" applyFont="1" applyFill="1" applyBorder="1" applyAlignment="1">
      <alignment vertical="center"/>
    </xf>
    <xf numFmtId="0" fontId="11" fillId="0" borderId="1" xfId="0" applyFont="1" applyBorder="1" applyAlignment="1">
      <alignment horizontal="left" vertical="center"/>
    </xf>
    <xf numFmtId="0" fontId="30" fillId="4" borderId="1" xfId="0" applyFont="1" applyFill="1" applyBorder="1"/>
    <xf numFmtId="0" fontId="30" fillId="16" borderId="1" xfId="0" applyFont="1" applyFill="1" applyBorder="1"/>
    <xf numFmtId="0" fontId="43" fillId="0" borderId="0" xfId="0" applyFont="1" applyAlignment="1">
      <alignment vertical="center"/>
    </xf>
    <xf numFmtId="0" fontId="30" fillId="0" borderId="0" xfId="0" applyFont="1"/>
    <xf numFmtId="0" fontId="22" fillId="0" borderId="0" xfId="0" applyFont="1"/>
    <xf numFmtId="0" fontId="29" fillId="0" borderId="0" xfId="0" applyFont="1" applyAlignment="1">
      <alignment horizontal="left" vertical="center" indent="2"/>
    </xf>
    <xf numFmtId="0" fontId="44" fillId="0" borderId="0" xfId="0" applyFont="1"/>
    <xf numFmtId="0" fontId="10" fillId="13" borderId="0" xfId="0" applyFont="1" applyFill="1" applyAlignment="1">
      <alignment horizontal="center" vertical="center"/>
    </xf>
    <xf numFmtId="0" fontId="10" fillId="13" borderId="0" xfId="0" applyFont="1" applyFill="1" applyAlignment="1">
      <alignment vertical="center" wrapText="1"/>
    </xf>
    <xf numFmtId="0" fontId="10" fillId="13" borderId="0" xfId="0" applyFont="1" applyFill="1" applyAlignment="1">
      <alignment vertical="center"/>
    </xf>
    <xf numFmtId="0" fontId="11" fillId="13" borderId="0" xfId="0" applyFont="1" applyFill="1" applyAlignment="1">
      <alignment vertical="center" wrapText="1"/>
    </xf>
    <xf numFmtId="0" fontId="11" fillId="13" borderId="0" xfId="0" applyFont="1" applyFill="1" applyAlignment="1">
      <alignment vertical="center"/>
    </xf>
    <xf numFmtId="0" fontId="0" fillId="0" borderId="0" xfId="0" applyAlignment="1">
      <alignment horizontal="center"/>
    </xf>
    <xf numFmtId="0" fontId="12" fillId="7" borderId="1" xfId="0" applyFont="1" applyFill="1" applyBorder="1" applyAlignment="1">
      <alignment horizontal="center" vertical="center" wrapText="1"/>
    </xf>
    <xf numFmtId="0" fontId="14" fillId="13" borderId="0" xfId="0" applyFont="1" applyFill="1" applyAlignment="1">
      <alignment horizontal="center" vertical="center"/>
    </xf>
    <xf numFmtId="0" fontId="29" fillId="0" borderId="0" xfId="0" applyFont="1" applyAlignment="1">
      <alignment horizontal="left" vertical="center"/>
    </xf>
    <xf numFmtId="0" fontId="15" fillId="5" borderId="20" xfId="0" applyFont="1" applyFill="1" applyBorder="1" applyAlignment="1">
      <alignment vertical="center"/>
    </xf>
    <xf numFmtId="0" fontId="15" fillId="5" borderId="4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0" fontId="12" fillId="0" borderId="0" xfId="0" applyFont="1" applyAlignment="1">
      <alignmen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3" fontId="12" fillId="6" borderId="24" xfId="0" applyNumberFormat="1" applyFont="1" applyFill="1" applyBorder="1" applyAlignment="1">
      <alignment horizontal="right" vertical="center"/>
    </xf>
    <xf numFmtId="3" fontId="12" fillId="6" borderId="15" xfId="0" applyNumberFormat="1" applyFont="1" applyFill="1" applyBorder="1" applyAlignment="1">
      <alignment horizontal="right" vertical="center"/>
    </xf>
    <xf numFmtId="3" fontId="12" fillId="6" borderId="16" xfId="0" applyNumberFormat="1" applyFont="1" applyFill="1" applyBorder="1" applyAlignment="1">
      <alignment horizontal="right" vertical="center"/>
    </xf>
    <xf numFmtId="0" fontId="0" fillId="7" borderId="1" xfId="0" applyFill="1" applyBorder="1" applyAlignment="1">
      <alignment horizontal="center"/>
    </xf>
    <xf numFmtId="0" fontId="30" fillId="16" borderId="1" xfId="0" applyFont="1" applyFill="1" applyBorder="1" applyAlignment="1">
      <alignment horizontal="center"/>
    </xf>
    <xf numFmtId="0" fontId="15" fillId="5" borderId="12"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22" borderId="53" xfId="0" applyFont="1" applyFill="1" applyBorder="1" applyAlignment="1">
      <alignment vertical="center" wrapText="1"/>
    </xf>
    <xf numFmtId="0" fontId="10" fillId="0" borderId="1" xfId="0" applyFont="1" applyBorder="1" applyAlignment="1">
      <alignment vertical="center"/>
    </xf>
    <xf numFmtId="0" fontId="12" fillId="6" borderId="51"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44" xfId="0" applyFont="1" applyFill="1" applyBorder="1" applyAlignment="1">
      <alignment horizontal="left" vertical="center" wrapText="1"/>
    </xf>
    <xf numFmtId="3" fontId="12" fillId="6" borderId="55" xfId="0" applyNumberFormat="1" applyFont="1" applyFill="1" applyBorder="1" applyAlignment="1">
      <alignment horizontal="right" vertical="center"/>
    </xf>
    <xf numFmtId="3" fontId="12" fillId="6" borderId="22" xfId="0" applyNumberFormat="1" applyFont="1" applyFill="1" applyBorder="1" applyAlignment="1">
      <alignment horizontal="right" vertical="center"/>
    </xf>
    <xf numFmtId="3" fontId="12" fillId="6" borderId="54" xfId="0" applyNumberFormat="1" applyFont="1" applyFill="1" applyBorder="1" applyAlignment="1">
      <alignment horizontal="right" vertical="center"/>
    </xf>
    <xf numFmtId="0" fontId="10" fillId="14" borderId="0" xfId="0" applyFont="1" applyFill="1" applyAlignment="1">
      <alignment horizontal="center" vertical="center"/>
    </xf>
    <xf numFmtId="0" fontId="10" fillId="14" borderId="0" xfId="0" applyFont="1" applyFill="1" applyAlignment="1">
      <alignment vertical="center" wrapText="1"/>
    </xf>
    <xf numFmtId="0" fontId="10" fillId="14" borderId="0" xfId="0" applyFont="1" applyFill="1" applyAlignment="1">
      <alignment vertical="center"/>
    </xf>
    <xf numFmtId="0" fontId="11" fillId="14" borderId="0" xfId="0" applyFont="1" applyFill="1" applyAlignment="1">
      <alignment vertical="center" wrapText="1"/>
    </xf>
    <xf numFmtId="0" fontId="11" fillId="14" borderId="0" xfId="0" applyFont="1" applyFill="1" applyAlignment="1">
      <alignment vertical="center"/>
    </xf>
    <xf numFmtId="0" fontId="14" fillId="14" borderId="0" xfId="0" applyFont="1" applyFill="1" applyAlignment="1">
      <alignment horizontal="center" vertical="center"/>
    </xf>
    <xf numFmtId="0" fontId="15" fillId="5" borderId="42" xfId="0" applyFont="1" applyFill="1" applyBorder="1" applyAlignment="1">
      <alignment horizontal="center" vertical="center" wrapText="1"/>
    </xf>
    <xf numFmtId="0" fontId="42" fillId="0" borderId="0" xfId="0" applyFont="1"/>
    <xf numFmtId="0" fontId="30" fillId="0" borderId="1" xfId="0" applyFont="1" applyBorder="1"/>
    <xf numFmtId="0" fontId="30" fillId="0" borderId="0" xfId="0" applyFont="1" applyAlignment="1">
      <alignment horizontal="center"/>
    </xf>
    <xf numFmtId="3" fontId="12" fillId="6" borderId="37" xfId="0" applyNumberFormat="1" applyFont="1" applyFill="1" applyBorder="1" applyAlignment="1">
      <alignment horizontal="right" vertical="center"/>
    </xf>
    <xf numFmtId="0" fontId="0" fillId="7" borderId="6" xfId="0" applyFill="1" applyBorder="1" applyAlignment="1">
      <alignment horizontal="center" vertical="center"/>
    </xf>
    <xf numFmtId="0" fontId="10" fillId="19" borderId="0" xfId="0" applyFont="1" applyFill="1" applyAlignment="1">
      <alignment horizontal="center" vertical="center"/>
    </xf>
    <xf numFmtId="0" fontId="10" fillId="19" borderId="0" xfId="0" applyFont="1" applyFill="1" applyAlignment="1">
      <alignment vertical="center" wrapText="1"/>
    </xf>
    <xf numFmtId="0" fontId="10" fillId="19" borderId="0" xfId="0" applyFont="1" applyFill="1" applyAlignment="1">
      <alignment vertical="center"/>
    </xf>
    <xf numFmtId="0" fontId="11" fillId="19" borderId="0" xfId="0" applyFont="1" applyFill="1" applyAlignment="1">
      <alignment vertical="center" wrapText="1"/>
    </xf>
    <xf numFmtId="0" fontId="11" fillId="19" borderId="0" xfId="0" applyFont="1" applyFill="1" applyAlignment="1">
      <alignment vertical="center"/>
    </xf>
    <xf numFmtId="0" fontId="14" fillId="10" borderId="1" xfId="0" applyFont="1" applyFill="1" applyBorder="1" applyAlignment="1">
      <alignment vertical="center" wrapText="1"/>
    </xf>
    <xf numFmtId="0" fontId="14" fillId="19" borderId="0" xfId="0" applyFont="1" applyFill="1" applyAlignment="1">
      <alignment horizontal="center" vertical="center"/>
    </xf>
    <xf numFmtId="0" fontId="15" fillId="11" borderId="20" xfId="0" applyFont="1" applyFill="1" applyBorder="1" applyAlignment="1">
      <alignment vertical="center"/>
    </xf>
    <xf numFmtId="0" fontId="15" fillId="11" borderId="17" xfId="0" applyFont="1" applyFill="1" applyBorder="1" applyAlignment="1">
      <alignment horizontal="center" vertical="center" wrapText="1"/>
    </xf>
    <xf numFmtId="0" fontId="15" fillId="11" borderId="41" xfId="0" applyFont="1" applyFill="1" applyBorder="1" applyAlignment="1">
      <alignment horizontal="center" vertical="center" wrapText="1"/>
    </xf>
    <xf numFmtId="0" fontId="15" fillId="8" borderId="41" xfId="0" applyFont="1" applyFill="1" applyBorder="1" applyAlignment="1">
      <alignment horizontal="center" vertical="center" wrapText="1"/>
    </xf>
    <xf numFmtId="0" fontId="15" fillId="8" borderId="43" xfId="0" applyFont="1" applyFill="1" applyBorder="1" applyAlignment="1">
      <alignment horizontal="center" vertical="center" wrapText="1"/>
    </xf>
    <xf numFmtId="0" fontId="37" fillId="0" borderId="0" xfId="0" applyFont="1"/>
    <xf numFmtId="0" fontId="0" fillId="0" borderId="0" xfId="0" applyAlignment="1">
      <alignment horizontal="center" vertical="center"/>
    </xf>
    <xf numFmtId="0" fontId="0" fillId="7" borderId="1" xfId="0" applyFill="1" applyBorder="1" applyAlignment="1">
      <alignment horizontal="center" vertical="center"/>
    </xf>
    <xf numFmtId="0" fontId="0" fillId="14" borderId="1" xfId="0" applyFill="1" applyBorder="1" applyAlignment="1">
      <alignment horizontal="center"/>
    </xf>
    <xf numFmtId="0" fontId="0" fillId="14" borderId="38" xfId="0" applyFill="1" applyBorder="1" applyAlignment="1">
      <alignment horizontal="center"/>
    </xf>
    <xf numFmtId="0" fontId="0" fillId="27" borderId="1" xfId="0" applyFill="1" applyBorder="1" applyAlignment="1">
      <alignment horizontal="center"/>
    </xf>
    <xf numFmtId="0" fontId="30" fillId="16" borderId="42" xfId="0" applyFont="1" applyFill="1" applyBorder="1" applyAlignment="1">
      <alignment horizontal="center" vertical="center"/>
    </xf>
    <xf numFmtId="0" fontId="20" fillId="19" borderId="0" xfId="0" applyFont="1" applyFill="1" applyAlignment="1">
      <alignment vertical="center" wrapText="1"/>
    </xf>
    <xf numFmtId="0" fontId="20" fillId="19" borderId="0" xfId="0" applyFont="1" applyFill="1" applyAlignment="1">
      <alignment vertical="center"/>
    </xf>
    <xf numFmtId="0" fontId="30" fillId="4" borderId="42" xfId="0" applyFont="1" applyFill="1" applyBorder="1"/>
    <xf numFmtId="0" fontId="30" fillId="13" borderId="1" xfId="0" applyFont="1" applyFill="1" applyBorder="1"/>
    <xf numFmtId="0" fontId="10" fillId="13" borderId="1" xfId="0" applyFont="1" applyFill="1" applyBorder="1" applyAlignment="1">
      <alignment vertical="center"/>
    </xf>
    <xf numFmtId="0" fontId="20" fillId="22" borderId="72" xfId="0" applyFont="1" applyFill="1" applyBorder="1" applyAlignment="1">
      <alignment vertical="center" wrapText="1"/>
    </xf>
    <xf numFmtId="0" fontId="20" fillId="22" borderId="53" xfId="0" applyFont="1" applyFill="1" applyBorder="1" applyAlignment="1">
      <alignment vertical="center" wrapText="1"/>
    </xf>
    <xf numFmtId="0" fontId="0" fillId="17" borderId="1" xfId="0" applyFill="1" applyBorder="1"/>
    <xf numFmtId="0" fontId="0" fillId="16" borderId="1" xfId="0" applyFill="1" applyBorder="1"/>
    <xf numFmtId="0" fontId="25" fillId="0" borderId="0" xfId="0" applyFont="1" applyAlignment="1">
      <alignment vertical="center" wrapText="1"/>
    </xf>
    <xf numFmtId="0" fontId="0" fillId="16" borderId="1" xfId="0" applyFill="1" applyBorder="1" applyAlignment="1">
      <alignment horizontal="center" vertical="center"/>
    </xf>
    <xf numFmtId="0" fontId="10" fillId="16" borderId="1" xfId="0" applyFont="1" applyFill="1" applyBorder="1" applyAlignment="1">
      <alignment vertical="center"/>
    </xf>
    <xf numFmtId="0" fontId="10" fillId="0" borderId="0" xfId="0" applyFont="1" applyAlignment="1">
      <alignment horizontal="left" vertical="center"/>
    </xf>
    <xf numFmtId="0" fontId="29" fillId="0" borderId="0" xfId="0" applyFont="1" applyAlignment="1">
      <alignment horizontal="left" vertical="top"/>
    </xf>
    <xf numFmtId="0" fontId="10"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0" fillId="29" borderId="70" xfId="0" applyFill="1" applyBorder="1"/>
    <xf numFmtId="0" fontId="0" fillId="0" borderId="0" xfId="0" applyAlignment="1">
      <alignment horizontal="left"/>
    </xf>
    <xf numFmtId="0" fontId="37" fillId="4" borderId="1" xfId="0" applyFont="1" applyFill="1" applyBorder="1"/>
    <xf numFmtId="0" fontId="10" fillId="4" borderId="1" xfId="0" applyFont="1" applyFill="1" applyBorder="1" applyAlignment="1">
      <alignment horizontal="left" vertical="center"/>
    </xf>
    <xf numFmtId="0" fontId="0" fillId="29" borderId="67" xfId="0" applyFill="1" applyBorder="1" applyAlignment="1">
      <alignment horizontal="center" vertical="center"/>
    </xf>
    <xf numFmtId="0" fontId="10" fillId="16" borderId="1" xfId="0" applyFont="1" applyFill="1" applyBorder="1" applyAlignment="1">
      <alignment horizontal="center" vertical="center"/>
    </xf>
    <xf numFmtId="0" fontId="10" fillId="4" borderId="1" xfId="0" applyFont="1" applyFill="1" applyBorder="1" applyAlignment="1">
      <alignment vertical="center"/>
    </xf>
    <xf numFmtId="0" fontId="40" fillId="0" borderId="0" xfId="0" applyFont="1"/>
    <xf numFmtId="3" fontId="10" fillId="29" borderId="13" xfId="0" applyNumberFormat="1" applyFont="1" applyFill="1" applyBorder="1" applyAlignment="1">
      <alignment horizontal="right" vertical="center"/>
    </xf>
    <xf numFmtId="0" fontId="0" fillId="2" borderId="70" xfId="0" applyFill="1" applyBorder="1" applyAlignment="1">
      <alignment horizontal="center" vertical="center"/>
    </xf>
    <xf numFmtId="0" fontId="0" fillId="2" borderId="48" xfId="0" applyFill="1" applyBorder="1" applyAlignment="1">
      <alignment horizontal="center" vertical="center"/>
    </xf>
    <xf numFmtId="0" fontId="10" fillId="28" borderId="1" xfId="0" applyFont="1" applyFill="1" applyBorder="1" applyAlignment="1">
      <alignment horizontal="center" vertical="center"/>
    </xf>
    <xf numFmtId="0" fontId="22" fillId="0" borderId="0" xfId="0" applyFont="1" applyAlignment="1">
      <alignment horizontal="left" indent="1"/>
    </xf>
    <xf numFmtId="0" fontId="11" fillId="29" borderId="13" xfId="0" applyFont="1" applyFill="1" applyBorder="1" applyAlignment="1">
      <alignment horizontal="center" vertical="center" wrapText="1"/>
    </xf>
    <xf numFmtId="0" fontId="22" fillId="0" borderId="0" xfId="0" applyFont="1" applyAlignment="1">
      <alignment horizontal="left" vertical="center" indent="1"/>
    </xf>
    <xf numFmtId="0" fontId="46" fillId="0" borderId="0" xfId="0" applyFont="1" applyAlignment="1">
      <alignment vertical="center"/>
    </xf>
    <xf numFmtId="0" fontId="10" fillId="21" borderId="11" xfId="0" applyFont="1" applyFill="1" applyBorder="1" applyAlignment="1">
      <alignment horizontal="center" vertical="center" wrapText="1"/>
    </xf>
    <xf numFmtId="0" fontId="22" fillId="0" borderId="0" xfId="0" applyFont="1" applyAlignment="1">
      <alignment horizontal="left" vertical="top" indent="1"/>
    </xf>
    <xf numFmtId="0" fontId="46" fillId="14" borderId="4" xfId="0" applyFont="1" applyFill="1" applyBorder="1" applyAlignment="1">
      <alignment horizontal="center" vertical="center"/>
    </xf>
    <xf numFmtId="0" fontId="12" fillId="21" borderId="11" xfId="0" applyFont="1" applyFill="1" applyBorder="1" applyAlignment="1">
      <alignment horizontal="center" vertical="center"/>
    </xf>
    <xf numFmtId="0" fontId="15" fillId="21" borderId="9" xfId="0" applyFont="1" applyFill="1" applyBorder="1" applyAlignment="1">
      <alignment horizontal="center" vertical="center" wrapText="1"/>
    </xf>
    <xf numFmtId="0" fontId="15" fillId="21" borderId="11" xfId="0" applyFont="1" applyFill="1" applyBorder="1" applyAlignment="1">
      <alignment horizontal="center" vertical="center" wrapText="1"/>
    </xf>
    <xf numFmtId="3" fontId="10" fillId="30" borderId="1" xfId="0" applyNumberFormat="1" applyFont="1" applyFill="1" applyBorder="1" applyAlignment="1">
      <alignment horizontal="right" vertical="center"/>
    </xf>
    <xf numFmtId="3" fontId="10" fillId="30" borderId="13" xfId="0" applyNumberFormat="1" applyFont="1" applyFill="1" applyBorder="1" applyAlignment="1">
      <alignment horizontal="right" vertical="center"/>
    </xf>
    <xf numFmtId="3" fontId="11" fillId="30" borderId="12" xfId="0" applyNumberFormat="1" applyFont="1" applyFill="1" applyBorder="1" applyAlignment="1">
      <alignment vertical="center"/>
    </xf>
    <xf numFmtId="3" fontId="11" fillId="30" borderId="13" xfId="0" applyNumberFormat="1" applyFont="1" applyFill="1" applyBorder="1" applyAlignment="1">
      <alignment vertical="center"/>
    </xf>
    <xf numFmtId="2" fontId="12" fillId="4" borderId="1" xfId="0" applyNumberFormat="1" applyFont="1" applyFill="1" applyBorder="1" applyAlignment="1">
      <alignment horizontal="center" vertical="center"/>
    </xf>
    <xf numFmtId="2" fontId="12" fillId="4" borderId="13" xfId="0" applyNumberFormat="1" applyFont="1" applyFill="1" applyBorder="1" applyAlignment="1">
      <alignment horizontal="center" vertical="center"/>
    </xf>
    <xf numFmtId="2" fontId="15" fillId="22" borderId="12" xfId="0" applyNumberFormat="1" applyFont="1" applyFill="1" applyBorder="1" applyAlignment="1">
      <alignment horizontal="center" vertical="center"/>
    </xf>
    <xf numFmtId="2" fontId="15" fillId="22" borderId="13"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5" fillId="22" borderId="14" xfId="0" applyFont="1" applyFill="1" applyBorder="1" applyAlignment="1">
      <alignment horizontal="center" vertical="center"/>
    </xf>
    <xf numFmtId="0" fontId="15" fillId="22" borderId="16" xfId="0" applyFont="1" applyFill="1" applyBorder="1" applyAlignment="1">
      <alignment horizontal="center" vertical="center"/>
    </xf>
    <xf numFmtId="0" fontId="15" fillId="22" borderId="12" xfId="0" applyFont="1" applyFill="1" applyBorder="1" applyAlignment="1">
      <alignment horizontal="center" vertical="center"/>
    </xf>
    <xf numFmtId="0" fontId="15" fillId="22" borderId="13" xfId="0" applyFont="1" applyFill="1" applyBorder="1" applyAlignment="1">
      <alignment horizontal="center" vertical="center"/>
    </xf>
    <xf numFmtId="0" fontId="10" fillId="0" borderId="58" xfId="0" applyFont="1" applyBorder="1" applyAlignment="1">
      <alignment horizontal="center" vertical="center"/>
    </xf>
    <xf numFmtId="0" fontId="29" fillId="0" borderId="0" xfId="0" applyFont="1" applyAlignment="1">
      <alignment vertical="center" wrapText="1"/>
    </xf>
    <xf numFmtId="0" fontId="29" fillId="0" borderId="0" xfId="0" applyFont="1" applyAlignment="1">
      <alignment vertical="top" wrapText="1"/>
    </xf>
    <xf numFmtId="0" fontId="10" fillId="0" borderId="17" xfId="0" applyFont="1" applyBorder="1" applyAlignment="1" applyProtection="1">
      <alignment vertical="center" wrapText="1"/>
      <protection locked="0"/>
    </xf>
    <xf numFmtId="3" fontId="10" fillId="0" borderId="20" xfId="0" applyNumberFormat="1" applyFont="1" applyBorder="1" applyAlignment="1" applyProtection="1">
      <alignment horizontal="right" vertical="center"/>
      <protection locked="0"/>
    </xf>
    <xf numFmtId="3" fontId="10" fillId="0" borderId="10" xfId="0" applyNumberFormat="1" applyFont="1" applyBorder="1" applyAlignment="1" applyProtection="1">
      <alignment horizontal="right" vertical="center"/>
      <protection locked="0"/>
    </xf>
    <xf numFmtId="3" fontId="11" fillId="0" borderId="10" xfId="0" applyNumberFormat="1" applyFont="1" applyBorder="1" applyAlignment="1" applyProtection="1">
      <alignment horizontal="right" vertical="center" wrapText="1"/>
      <protection locked="0"/>
    </xf>
    <xf numFmtId="0" fontId="10" fillId="0" borderId="12" xfId="0" applyFont="1" applyBorder="1" applyAlignment="1" applyProtection="1">
      <alignment vertical="center" wrapText="1"/>
      <protection locked="0"/>
    </xf>
    <xf numFmtId="3" fontId="10" fillId="0" borderId="42" xfId="0" applyNumberFormat="1" applyFont="1" applyBorder="1" applyAlignment="1" applyProtection="1">
      <alignment horizontal="right" vertical="center"/>
      <protection locked="0"/>
    </xf>
    <xf numFmtId="3" fontId="11" fillId="0" borderId="1" xfId="0" applyNumberFormat="1" applyFont="1" applyBorder="1" applyAlignment="1" applyProtection="1">
      <alignment horizontal="right" vertical="center" wrapText="1"/>
      <protection locked="0"/>
    </xf>
    <xf numFmtId="0" fontId="10" fillId="0" borderId="56" xfId="0" applyFont="1" applyBorder="1" applyAlignment="1" applyProtection="1">
      <alignment vertical="center" wrapText="1"/>
      <protection locked="0"/>
    </xf>
    <xf numFmtId="3" fontId="10" fillId="0" borderId="11" xfId="0" applyNumberFormat="1" applyFont="1" applyBorder="1" applyAlignment="1" applyProtection="1">
      <alignment horizontal="right" vertical="center"/>
      <protection locked="0"/>
    </xf>
    <xf numFmtId="3" fontId="11" fillId="0" borderId="1" xfId="0" applyNumberFormat="1" applyFont="1" applyBorder="1" applyAlignment="1" applyProtection="1">
      <alignment horizontal="right" vertical="center"/>
      <protection locked="0"/>
    </xf>
    <xf numFmtId="3" fontId="10" fillId="0" borderId="12" xfId="0" applyNumberFormat="1" applyFont="1" applyBorder="1" applyAlignment="1" applyProtection="1">
      <alignment horizontal="right" vertical="center"/>
      <protection locked="0"/>
    </xf>
    <xf numFmtId="0" fontId="20" fillId="0" borderId="72" xfId="0" applyFont="1" applyBorder="1" applyAlignment="1" applyProtection="1">
      <alignment vertical="center" wrapText="1"/>
      <protection locked="0"/>
    </xf>
    <xf numFmtId="3" fontId="20" fillId="0" borderId="17" xfId="0" applyNumberFormat="1" applyFont="1" applyBorder="1" applyAlignment="1" applyProtection="1">
      <alignment horizontal="right" vertical="center"/>
      <protection locked="0"/>
    </xf>
    <xf numFmtId="0" fontId="20" fillId="0" borderId="53" xfId="0" applyFont="1" applyBorder="1" applyAlignment="1" applyProtection="1">
      <alignment vertical="center" wrapText="1"/>
      <protection locked="0"/>
    </xf>
    <xf numFmtId="3" fontId="20" fillId="0" borderId="12" xfId="0" applyNumberFormat="1" applyFont="1" applyBorder="1" applyAlignment="1" applyProtection="1">
      <alignment horizontal="right" vertical="center"/>
      <protection locked="0"/>
    </xf>
    <xf numFmtId="3" fontId="20" fillId="0" borderId="41" xfId="0" applyNumberFormat="1" applyFont="1" applyBorder="1" applyAlignment="1" applyProtection="1">
      <alignment horizontal="right" vertical="center"/>
      <protection locked="0"/>
    </xf>
    <xf numFmtId="3" fontId="20" fillId="0" borderId="43" xfId="0" applyNumberFormat="1" applyFont="1" applyBorder="1" applyAlignment="1" applyProtection="1">
      <alignment horizontal="right" vertical="center"/>
      <protection locked="0"/>
    </xf>
    <xf numFmtId="3" fontId="11" fillId="0" borderId="41" xfId="0" applyNumberFormat="1" applyFont="1" applyBorder="1" applyAlignment="1" applyProtection="1">
      <alignment horizontal="right" vertical="center"/>
      <protection locked="0"/>
    </xf>
    <xf numFmtId="3" fontId="11" fillId="0" borderId="42" xfId="0" applyNumberFormat="1" applyFont="1" applyBorder="1" applyAlignment="1" applyProtection="1">
      <alignment horizontal="right" vertical="center"/>
      <protection locked="0"/>
    </xf>
    <xf numFmtId="3" fontId="20" fillId="0" borderId="42" xfId="0" applyNumberFormat="1" applyFont="1" applyBorder="1" applyAlignment="1" applyProtection="1">
      <alignment horizontal="right" vertical="center"/>
      <protection locked="0"/>
    </xf>
    <xf numFmtId="3" fontId="20" fillId="0" borderId="39" xfId="0" applyNumberFormat="1" applyFont="1" applyBorder="1" applyAlignment="1" applyProtection="1">
      <alignment horizontal="right" vertical="center"/>
      <protection locked="0"/>
    </xf>
    <xf numFmtId="0" fontId="12" fillId="21" borderId="57" xfId="0" applyFont="1" applyFill="1" applyBorder="1" applyAlignment="1">
      <alignment horizontal="center" vertical="top"/>
    </xf>
    <xf numFmtId="0" fontId="29" fillId="18" borderId="45" xfId="0" applyFont="1" applyFill="1" applyBorder="1" applyAlignment="1">
      <alignment horizontal="left" vertical="center"/>
    </xf>
    <xf numFmtId="0" fontId="45" fillId="0" borderId="0" xfId="0" applyFont="1" applyAlignment="1">
      <alignment vertical="center"/>
    </xf>
    <xf numFmtId="0" fontId="15" fillId="21" borderId="57" xfId="0" applyFont="1" applyFill="1" applyBorder="1" applyAlignment="1">
      <alignment horizontal="center" vertical="top"/>
    </xf>
    <xf numFmtId="0" fontId="0" fillId="0" borderId="0" xfId="0" applyAlignment="1">
      <alignment vertical="top"/>
    </xf>
    <xf numFmtId="0" fontId="12" fillId="0" borderId="0" xfId="0" applyFont="1" applyAlignment="1">
      <alignment vertical="top" wrapText="1"/>
    </xf>
    <xf numFmtId="0" fontId="10"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xf numFmtId="0" fontId="10" fillId="0" borderId="16"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34" xfId="0" applyFont="1" applyFill="1" applyBorder="1" applyAlignment="1">
      <alignment horizontal="center" wrapText="1"/>
    </xf>
    <xf numFmtId="0" fontId="12" fillId="2" borderId="71" xfId="0" applyFont="1" applyFill="1" applyBorder="1" applyAlignment="1">
      <alignment horizontal="center" wrapText="1"/>
    </xf>
    <xf numFmtId="0" fontId="12" fillId="21" borderId="40" xfId="0" applyFont="1" applyFill="1" applyBorder="1" applyAlignment="1">
      <alignment horizontal="center" vertical="top" wrapText="1"/>
    </xf>
    <xf numFmtId="0" fontId="12" fillId="2" borderId="57" xfId="0" applyFont="1" applyFill="1" applyBorder="1" applyAlignment="1">
      <alignment horizontal="center" vertical="top" wrapText="1"/>
    </xf>
    <xf numFmtId="2" fontId="10" fillId="4" borderId="1" xfId="0" applyNumberFormat="1" applyFont="1" applyFill="1" applyBorder="1" applyAlignment="1">
      <alignment horizontal="center" vertical="center" wrapText="1"/>
    </xf>
    <xf numFmtId="2" fontId="10" fillId="4" borderId="13" xfId="0" applyNumberFormat="1"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2" fillId="2" borderId="40" xfId="0" applyFont="1" applyFill="1" applyBorder="1" applyAlignment="1">
      <alignment horizontal="center" vertical="top" wrapText="1"/>
    </xf>
    <xf numFmtId="0" fontId="11" fillId="18" borderId="0" xfId="0" applyFont="1" applyFill="1" applyAlignment="1">
      <alignment vertical="center" wrapText="1"/>
    </xf>
    <xf numFmtId="0" fontId="32" fillId="0" borderId="0" xfId="0" applyFont="1"/>
    <xf numFmtId="0" fontId="33"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12" fillId="4" borderId="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2" fillId="4" borderId="63" xfId="0" applyFont="1" applyFill="1" applyBorder="1" applyAlignment="1">
      <alignment vertical="center"/>
    </xf>
    <xf numFmtId="0" fontId="12" fillId="4" borderId="64" xfId="0" applyFont="1" applyFill="1" applyBorder="1" applyAlignment="1">
      <alignment vertical="center"/>
    </xf>
    <xf numFmtId="0" fontId="12" fillId="4" borderId="43" xfId="0" applyFont="1" applyFill="1" applyBorder="1" applyAlignment="1">
      <alignment horizontal="center" vertical="center"/>
    </xf>
    <xf numFmtId="0" fontId="10" fillId="4" borderId="15" xfId="0" applyFont="1" applyFill="1" applyBorder="1" applyAlignment="1">
      <alignment vertical="center" wrapText="1"/>
    </xf>
    <xf numFmtId="0" fontId="10" fillId="4" borderId="24" xfId="0" applyFont="1" applyFill="1" applyBorder="1" applyAlignment="1">
      <alignment vertical="center" wrapText="1"/>
    </xf>
    <xf numFmtId="0" fontId="10" fillId="4" borderId="22"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10" fillId="4" borderId="22"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1" fillId="4" borderId="54"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4" borderId="33" xfId="0" applyFont="1" applyFill="1" applyBorder="1" applyAlignment="1">
      <alignment vertical="center" wrapText="1"/>
    </xf>
    <xf numFmtId="0" fontId="10" fillId="4" borderId="68"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4" borderId="49"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17" borderId="1" xfId="0" applyFont="1" applyFill="1" applyBorder="1" applyAlignment="1">
      <alignment horizontal="center" vertical="center" wrapText="1"/>
    </xf>
    <xf numFmtId="0" fontId="10" fillId="17" borderId="38" xfId="0" applyFont="1" applyFill="1" applyBorder="1" applyAlignment="1">
      <alignment horizontal="center" vertical="center" wrapText="1"/>
    </xf>
    <xf numFmtId="0" fontId="10"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38" xfId="0" quotePrefix="1" applyFont="1" applyBorder="1" applyAlignment="1">
      <alignment horizontal="center" vertical="center" wrapText="1"/>
    </xf>
    <xf numFmtId="0" fontId="10" fillId="0" borderId="13" xfId="0" quotePrefix="1" applyFont="1" applyBorder="1" applyAlignment="1">
      <alignment horizontal="center" vertical="center" wrapText="1"/>
    </xf>
    <xf numFmtId="0" fontId="11" fillId="0" borderId="13" xfId="0" quotePrefix="1" applyFont="1" applyBorder="1" applyAlignment="1">
      <alignment horizontal="center" vertical="center" wrapText="1"/>
    </xf>
    <xf numFmtId="0" fontId="11" fillId="4" borderId="49"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3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3" xfId="0" applyFont="1" applyBorder="1" applyAlignment="1">
      <alignment horizontal="center" vertical="center" wrapText="1"/>
    </xf>
    <xf numFmtId="0" fontId="10" fillId="4" borderId="48"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2" xfId="0" applyFont="1" applyBorder="1" applyAlignment="1">
      <alignment horizontal="center" vertical="center" wrapText="1"/>
    </xf>
    <xf numFmtId="0" fontId="11" fillId="0" borderId="14" xfId="0" applyFont="1" applyBorder="1" applyAlignment="1">
      <alignment horizontal="center" vertical="center" wrapText="1"/>
    </xf>
    <xf numFmtId="0" fontId="29" fillId="0" borderId="16" xfId="0" applyFont="1" applyBorder="1" applyAlignment="1">
      <alignment horizontal="center" vertical="center" wrapText="1"/>
    </xf>
    <xf numFmtId="0" fontId="25" fillId="18" borderId="0" xfId="0" applyFont="1" applyFill="1" applyAlignment="1">
      <alignment horizontal="left" vertical="center"/>
    </xf>
    <xf numFmtId="0" fontId="25" fillId="0" borderId="0" xfId="0" applyFont="1"/>
    <xf numFmtId="0" fontId="12" fillId="4" borderId="66"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17" borderId="66" xfId="0" applyFont="1" applyFill="1" applyBorder="1" applyAlignment="1">
      <alignment horizontal="center" vertical="center" wrapText="1"/>
    </xf>
    <xf numFmtId="0" fontId="10" fillId="17" borderId="69" xfId="0" applyFont="1" applyFill="1" applyBorder="1" applyAlignment="1">
      <alignment horizontal="center" vertical="center" wrapText="1"/>
    </xf>
    <xf numFmtId="0" fontId="10" fillId="17" borderId="45" xfId="0" applyFont="1" applyFill="1" applyBorder="1" applyAlignment="1">
      <alignment horizontal="center" vertical="center" wrapText="1"/>
    </xf>
    <xf numFmtId="0" fontId="10" fillId="17" borderId="64"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5" fillId="4" borderId="65"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52" xfId="0" applyFont="1" applyFill="1" applyBorder="1" applyAlignment="1">
      <alignment horizontal="center" vertical="center"/>
    </xf>
    <xf numFmtId="0" fontId="12" fillId="4" borderId="21" xfId="0" applyFont="1" applyFill="1" applyBorder="1" applyAlignment="1">
      <alignment horizontal="center" vertical="center"/>
    </xf>
    <xf numFmtId="0" fontId="22" fillId="0" borderId="0" xfId="0" applyFont="1" applyAlignment="1">
      <alignment horizontal="left"/>
    </xf>
    <xf numFmtId="0" fontId="11" fillId="0" borderId="53" xfId="0" applyFont="1" applyBorder="1" applyAlignment="1">
      <alignment horizontal="center" vertical="center" wrapText="1"/>
    </xf>
    <xf numFmtId="0" fontId="11" fillId="0" borderId="39"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62" xfId="0" applyFont="1" applyFill="1" applyBorder="1" applyAlignment="1">
      <alignment horizontal="center" vertical="center" wrapText="1"/>
    </xf>
    <xf numFmtId="0" fontId="12" fillId="4" borderId="67" xfId="0" applyFont="1" applyFill="1" applyBorder="1" applyAlignment="1">
      <alignment horizontal="center" vertical="center" wrapText="1"/>
    </xf>
    <xf numFmtId="0" fontId="11" fillId="0" borderId="0" xfId="0" applyFont="1" applyAlignment="1">
      <alignment horizontal="left" vertical="center" wrapText="1"/>
    </xf>
    <xf numFmtId="0" fontId="12" fillId="4" borderId="52" xfId="0" applyFont="1" applyFill="1" applyBorder="1" applyAlignment="1">
      <alignment horizontal="center" vertical="center" wrapText="1"/>
    </xf>
    <xf numFmtId="0" fontId="2" fillId="17" borderId="30" xfId="0" applyFont="1" applyFill="1" applyBorder="1" applyAlignment="1">
      <alignment horizontal="left" vertical="top" wrapText="1"/>
    </xf>
    <xf numFmtId="0" fontId="3" fillId="17" borderId="4" xfId="0" applyFont="1" applyFill="1" applyBorder="1" applyAlignment="1">
      <alignment horizontal="left" vertical="top"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5" fillId="15" borderId="1" xfId="1" applyFill="1" applyBorder="1" applyAlignment="1" applyProtection="1">
      <alignment horizontal="center" vertical="center"/>
      <protection locked="0"/>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1" fillId="4" borderId="12"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37" fillId="0" borderId="0" xfId="0" applyFont="1" applyAlignment="1">
      <alignment horizontal="left" vertical="center"/>
    </xf>
    <xf numFmtId="0" fontId="10" fillId="0" borderId="20" xfId="0" applyFont="1" applyBorder="1" applyAlignment="1" applyProtection="1">
      <alignment horizontal="left" vertical="center" indent="1"/>
      <protection locked="0"/>
    </xf>
    <xf numFmtId="0" fontId="10" fillId="0" borderId="1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2" fillId="2" borderId="1"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0" fillId="0" borderId="42" xfId="0" applyFont="1" applyBorder="1" applyAlignment="1" applyProtection="1">
      <alignment horizontal="left" vertical="center" indent="1"/>
      <protection locked="0"/>
    </xf>
    <xf numFmtId="0" fontId="10" fillId="0" borderId="1" xfId="0" applyFont="1" applyBorder="1" applyAlignment="1" applyProtection="1">
      <alignment horizontal="left" vertical="center" indent="1"/>
      <protection locked="0"/>
    </xf>
    <xf numFmtId="0" fontId="10" fillId="0" borderId="13" xfId="0" applyFont="1" applyBorder="1" applyAlignment="1" applyProtection="1">
      <alignment horizontal="left" vertical="center" indent="1"/>
      <protection locked="0"/>
    </xf>
    <xf numFmtId="49" fontId="10" fillId="0" borderId="42" xfId="0" applyNumberFormat="1" applyFont="1" applyBorder="1" applyAlignment="1" applyProtection="1">
      <alignment horizontal="left" vertical="center" indent="1"/>
      <protection locked="0"/>
    </xf>
    <xf numFmtId="49" fontId="10" fillId="0" borderId="1" xfId="0" applyNumberFormat="1" applyFont="1" applyBorder="1" applyAlignment="1" applyProtection="1">
      <alignment horizontal="left" vertical="center" indent="1"/>
      <protection locked="0"/>
    </xf>
    <xf numFmtId="49" fontId="10" fillId="0" borderId="13" xfId="0" applyNumberFormat="1" applyFont="1" applyBorder="1" applyAlignment="1" applyProtection="1">
      <alignment horizontal="left" vertical="center" indent="1"/>
      <protection locked="0"/>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14" fontId="10" fillId="0" borderId="42" xfId="0" applyNumberFormat="1" applyFont="1" applyBorder="1" applyAlignment="1" applyProtection="1">
      <alignment horizontal="left" vertical="center" indent="1"/>
      <protection locked="0"/>
    </xf>
    <xf numFmtId="14" fontId="10" fillId="0" borderId="1" xfId="0" applyNumberFormat="1" applyFont="1" applyBorder="1" applyAlignment="1" applyProtection="1">
      <alignment horizontal="left" vertical="center" indent="1"/>
      <protection locked="0"/>
    </xf>
    <xf numFmtId="14" fontId="10" fillId="0" borderId="13" xfId="0" applyNumberFormat="1" applyFont="1" applyBorder="1" applyAlignment="1" applyProtection="1">
      <alignment horizontal="left" vertical="center" indent="1"/>
      <protection locked="0"/>
    </xf>
    <xf numFmtId="0" fontId="12" fillId="2" borderId="17"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1" fillId="0" borderId="6" xfId="0" applyFont="1" applyBorder="1" applyAlignment="1">
      <alignment horizontal="left" vertical="center" indent="1"/>
    </xf>
    <xf numFmtId="0" fontId="11" fillId="0" borderId="57" xfId="0" applyFont="1" applyBorder="1" applyAlignment="1">
      <alignment horizontal="left" vertical="center" indent="1"/>
    </xf>
    <xf numFmtId="0" fontId="10" fillId="0" borderId="24" xfId="0" applyFont="1" applyBorder="1" applyAlignment="1" applyProtection="1">
      <alignment horizontal="left" vertical="center" indent="1"/>
      <protection locked="0"/>
    </xf>
    <xf numFmtId="0" fontId="10" fillId="0" borderId="15" xfId="0" applyFont="1" applyBorder="1" applyAlignment="1" applyProtection="1">
      <alignment horizontal="left" vertical="center" indent="1"/>
      <protection locked="0"/>
    </xf>
    <xf numFmtId="0" fontId="10" fillId="0" borderId="16" xfId="0" applyFont="1" applyBorder="1" applyAlignment="1" applyProtection="1">
      <alignment horizontal="left" vertical="center" indent="1"/>
      <protection locked="0"/>
    </xf>
    <xf numFmtId="0" fontId="11" fillId="0" borderId="15" xfId="0" applyFont="1" applyBorder="1" applyAlignment="1">
      <alignment horizontal="left" vertical="center" indent="1"/>
    </xf>
    <xf numFmtId="0" fontId="11" fillId="0" borderId="16" xfId="0" applyFont="1" applyBorder="1" applyAlignment="1">
      <alignment horizontal="left" vertical="center" indent="1"/>
    </xf>
    <xf numFmtId="0" fontId="12"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0" fillId="0" borderId="1" xfId="0" applyBorder="1" applyAlignment="1">
      <alignment horizontal="center"/>
    </xf>
    <xf numFmtId="0" fontId="10" fillId="3" borderId="31" xfId="0" applyFont="1" applyFill="1" applyBorder="1" applyAlignment="1">
      <alignment horizontal="center" vertical="center"/>
    </xf>
    <xf numFmtId="0" fontId="10" fillId="3" borderId="4" xfId="0" applyFont="1" applyFill="1" applyBorder="1" applyAlignment="1">
      <alignment horizontal="center" vertical="center"/>
    </xf>
    <xf numFmtId="0" fontId="29" fillId="0" borderId="45" xfId="0" applyFont="1" applyBorder="1" applyAlignment="1">
      <alignment horizontal="left" vertical="center" wrapText="1"/>
    </xf>
    <xf numFmtId="0" fontId="29" fillId="0" borderId="0" xfId="0" applyFont="1" applyAlignment="1">
      <alignment horizontal="left" vertical="center"/>
    </xf>
    <xf numFmtId="0" fontId="2" fillId="0" borderId="0" xfId="0" applyFont="1" applyAlignment="1">
      <alignment horizontal="left"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0" fillId="0" borderId="0" xfId="0" applyFont="1" applyAlignment="1">
      <alignment horizontal="center" vertical="center" wrapText="1"/>
    </xf>
    <xf numFmtId="14" fontId="10" fillId="0" borderId="46" xfId="0" applyNumberFormat="1" applyFont="1" applyBorder="1" applyAlignment="1" applyProtection="1">
      <alignment horizontal="left" vertical="center" indent="1"/>
      <protection locked="0"/>
    </xf>
    <xf numFmtId="14" fontId="10" fillId="0" borderId="39" xfId="0" applyNumberFormat="1" applyFont="1" applyBorder="1" applyAlignment="1" applyProtection="1">
      <alignment horizontal="left" vertical="center" indent="1"/>
      <protection locked="0"/>
    </xf>
    <xf numFmtId="14" fontId="10" fillId="0" borderId="25" xfId="0" applyNumberFormat="1" applyFont="1" applyBorder="1" applyAlignment="1" applyProtection="1">
      <alignment horizontal="left" vertical="center" indent="1"/>
      <protection locked="0"/>
    </xf>
    <xf numFmtId="14" fontId="10" fillId="0" borderId="33" xfId="0" applyNumberFormat="1" applyFont="1" applyBorder="1" applyAlignment="1" applyProtection="1">
      <alignment horizontal="left" vertical="center" indent="1"/>
      <protection locked="0"/>
    </xf>
    <xf numFmtId="0" fontId="11" fillId="0" borderId="38" xfId="0" applyFont="1" applyBorder="1" applyAlignment="1">
      <alignment horizontal="left" vertical="center"/>
    </xf>
    <xf numFmtId="0" fontId="11" fillId="0" borderId="46" xfId="0" applyFont="1" applyBorder="1" applyAlignment="1">
      <alignment horizontal="left" vertical="center"/>
    </xf>
    <xf numFmtId="0" fontId="11" fillId="0" borderId="42" xfId="0" applyFont="1" applyBorder="1" applyAlignment="1">
      <alignment horizontal="left" vertical="center"/>
    </xf>
    <xf numFmtId="0" fontId="10" fillId="0" borderId="38" xfId="0" applyFont="1" applyBorder="1" applyAlignment="1">
      <alignment horizontal="center" vertical="center"/>
    </xf>
    <xf numFmtId="0" fontId="10" fillId="0" borderId="46" xfId="0" applyFont="1" applyBorder="1" applyAlignment="1">
      <alignment horizontal="center" vertical="center"/>
    </xf>
    <xf numFmtId="0" fontId="10" fillId="0" borderId="42" xfId="0" applyFont="1" applyBorder="1" applyAlignment="1">
      <alignment horizontal="center" vertical="center"/>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29" fillId="0" borderId="0" xfId="0" applyFont="1" applyAlignment="1">
      <alignment horizontal="left" vertical="center" wrapText="1"/>
    </xf>
    <xf numFmtId="0" fontId="11" fillId="4" borderId="30" xfId="0" applyFont="1" applyFill="1" applyBorder="1" applyAlignment="1">
      <alignment horizontal="left" vertical="center" wrapText="1"/>
    </xf>
    <xf numFmtId="0" fontId="11" fillId="4" borderId="31" xfId="0" applyFont="1" applyFill="1" applyBorder="1" applyAlignment="1">
      <alignment horizontal="left" vertical="center" wrapText="1"/>
    </xf>
    <xf numFmtId="0" fontId="11" fillId="0" borderId="1" xfId="0" applyFont="1" applyBorder="1" applyAlignment="1" applyProtection="1">
      <alignment horizontal="left" vertical="center"/>
      <protection locked="0"/>
    </xf>
    <xf numFmtId="0" fontId="0" fillId="0" borderId="1" xfId="0" applyBorder="1" applyAlignment="1">
      <alignment horizontal="left"/>
    </xf>
    <xf numFmtId="14" fontId="10" fillId="0" borderId="38" xfId="0" applyNumberFormat="1" applyFont="1" applyBorder="1" applyAlignment="1" applyProtection="1">
      <alignment horizontal="left" vertical="center" indent="1"/>
      <protection locked="0"/>
    </xf>
    <xf numFmtId="14" fontId="10" fillId="0" borderId="32" xfId="0" applyNumberFormat="1" applyFont="1" applyBorder="1" applyAlignment="1" applyProtection="1">
      <alignment horizontal="left" vertical="center" indent="1"/>
      <protection locked="0"/>
    </xf>
    <xf numFmtId="0" fontId="11" fillId="0" borderId="73" xfId="0" applyFont="1" applyBorder="1" applyAlignment="1" applyProtection="1">
      <alignment horizontal="left" vertical="center" indent="1"/>
      <protection locked="0"/>
    </xf>
    <xf numFmtId="0" fontId="11" fillId="0" borderId="60" xfId="0" applyFont="1" applyBorder="1" applyAlignment="1" applyProtection="1">
      <alignment horizontal="left" vertical="center" indent="1"/>
      <protection locked="0"/>
    </xf>
    <xf numFmtId="0" fontId="15" fillId="4" borderId="30" xfId="0" applyFont="1" applyFill="1" applyBorder="1" applyAlignment="1">
      <alignment horizontal="left" vertical="center" wrapText="1"/>
    </xf>
    <xf numFmtId="0" fontId="15" fillId="4" borderId="31" xfId="0" applyFont="1" applyFill="1" applyBorder="1" applyAlignment="1">
      <alignment horizontal="left" vertical="center" wrapText="1"/>
    </xf>
    <xf numFmtId="0" fontId="12" fillId="2" borderId="72"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10" fillId="0" borderId="10" xfId="0" applyFont="1" applyBorder="1" applyAlignment="1">
      <alignment horizontal="left" vertical="center" indent="1"/>
    </xf>
    <xf numFmtId="0" fontId="10" fillId="0" borderId="11" xfId="0" applyFont="1" applyBorder="1" applyAlignment="1">
      <alignment horizontal="left" vertical="center" indent="1"/>
    </xf>
    <xf numFmtId="0" fontId="10" fillId="0" borderId="1" xfId="0" applyFont="1" applyBorder="1" applyAlignment="1">
      <alignment horizontal="left" vertical="center" indent="1"/>
    </xf>
    <xf numFmtId="0" fontId="10" fillId="0" borderId="13" xfId="0" applyFont="1" applyBorder="1" applyAlignment="1">
      <alignment horizontal="left" vertical="center" indent="1"/>
    </xf>
    <xf numFmtId="3" fontId="10" fillId="0" borderId="1" xfId="0" applyNumberFormat="1" applyFont="1" applyBorder="1" applyAlignment="1">
      <alignment horizontal="left" vertical="center" indent="1"/>
    </xf>
    <xf numFmtId="14" fontId="10" fillId="0" borderId="1" xfId="0" applyNumberFormat="1" applyFont="1" applyBorder="1" applyAlignment="1">
      <alignment horizontal="left" vertical="center" indent="1"/>
    </xf>
    <xf numFmtId="14" fontId="10" fillId="0" borderId="13" xfId="0" applyNumberFormat="1" applyFont="1" applyBorder="1" applyAlignment="1">
      <alignment horizontal="left" vertical="center" indent="1"/>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1" fillId="15" borderId="45" xfId="0" applyFont="1" applyFill="1" applyBorder="1" applyAlignment="1">
      <alignment horizontal="left" vertical="center" wrapText="1"/>
    </xf>
    <xf numFmtId="0" fontId="11" fillId="15" borderId="0" xfId="0" applyFont="1" applyFill="1" applyAlignment="1">
      <alignment horizontal="left" vertical="center" wrapText="1"/>
    </xf>
    <xf numFmtId="0" fontId="10" fillId="15" borderId="0" xfId="0" applyFont="1" applyFill="1" applyAlignment="1">
      <alignment horizontal="left" vertical="center" wrapText="1"/>
    </xf>
    <xf numFmtId="0" fontId="12" fillId="2" borderId="2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6" fillId="4" borderId="38"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1" fillId="4" borderId="23"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0" fillId="0" borderId="22" xfId="0" applyFont="1" applyBorder="1" applyAlignment="1">
      <alignment horizontal="left" vertical="center" indent="1"/>
    </xf>
    <xf numFmtId="0" fontId="10" fillId="0" borderId="54" xfId="0" applyFont="1" applyBorder="1" applyAlignment="1">
      <alignment horizontal="left" vertical="center" indent="1"/>
    </xf>
    <xf numFmtId="0" fontId="10" fillId="0" borderId="6" xfId="0" applyFont="1" applyBorder="1" applyAlignment="1">
      <alignment horizontal="left" vertical="center" indent="1"/>
    </xf>
    <xf numFmtId="0" fontId="10" fillId="0" borderId="57" xfId="0" applyFont="1" applyBorder="1" applyAlignment="1">
      <alignment horizontal="left" vertical="center" indent="1"/>
    </xf>
    <xf numFmtId="0" fontId="12" fillId="2" borderId="18"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0" fillId="15" borderId="45" xfId="0" applyFont="1" applyFill="1" applyBorder="1" applyAlignment="1">
      <alignment horizontal="left" vertical="center" wrapText="1"/>
    </xf>
    <xf numFmtId="0" fontId="16" fillId="4" borderId="15" xfId="0" applyFont="1" applyFill="1" applyBorder="1" applyAlignment="1">
      <alignment horizontal="center" vertical="center" wrapText="1"/>
    </xf>
    <xf numFmtId="0" fontId="11" fillId="4" borderId="55"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0" fillId="0" borderId="6" xfId="0" applyFont="1" applyBorder="1" applyAlignment="1">
      <alignment horizontal="left" vertical="center" wrapText="1" indent="1"/>
    </xf>
    <xf numFmtId="0" fontId="10" fillId="0" borderId="57" xfId="0" applyFont="1" applyBorder="1" applyAlignment="1">
      <alignment horizontal="left" vertical="center" wrapText="1" indent="1"/>
    </xf>
    <xf numFmtId="0" fontId="11" fillId="15" borderId="45" xfId="0" applyFont="1" applyFill="1" applyBorder="1" applyAlignment="1">
      <alignment horizontal="left" vertical="top" wrapText="1"/>
    </xf>
    <xf numFmtId="0" fontId="11" fillId="15" borderId="0" xfId="0" applyFont="1" applyFill="1" applyAlignment="1">
      <alignment horizontal="left" vertical="top" wrapText="1"/>
    </xf>
    <xf numFmtId="0" fontId="11" fillId="23"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24" borderId="1" xfId="0" applyFont="1" applyFill="1" applyBorder="1" applyAlignment="1">
      <alignment horizontal="center" vertical="center" wrapText="1"/>
    </xf>
    <xf numFmtId="0" fontId="14" fillId="9" borderId="66" xfId="0" applyFont="1" applyFill="1" applyBorder="1" applyAlignment="1">
      <alignment horizontal="center" vertical="center" wrapText="1"/>
    </xf>
    <xf numFmtId="0" fontId="14" fillId="9" borderId="4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33" xfId="0" applyFont="1" applyFill="1" applyBorder="1" applyAlignment="1">
      <alignment horizontal="center" vertical="center" wrapText="1"/>
    </xf>
    <xf numFmtId="0" fontId="20" fillId="22" borderId="40" xfId="0" applyFont="1" applyFill="1" applyBorder="1" applyAlignment="1">
      <alignment horizontal="center" vertical="center" wrapText="1"/>
    </xf>
    <xf numFmtId="0" fontId="20" fillId="22" borderId="43" xfId="0" applyFont="1" applyFill="1" applyBorder="1" applyAlignment="1">
      <alignment horizontal="center" vertical="center" wrapText="1"/>
    </xf>
    <xf numFmtId="0" fontId="10" fillId="22" borderId="18" xfId="0" applyFont="1" applyFill="1" applyBorder="1" applyAlignment="1">
      <alignment horizontal="center" vertical="center" wrapText="1"/>
    </xf>
    <xf numFmtId="0" fontId="10" fillId="22" borderId="21" xfId="0" applyFont="1" applyFill="1" applyBorder="1" applyAlignment="1">
      <alignment horizontal="center" vertical="center" wrapText="1"/>
    </xf>
    <xf numFmtId="0" fontId="10" fillId="22" borderId="38" xfId="0" applyFont="1" applyFill="1" applyBorder="1" applyAlignment="1">
      <alignment horizontal="center" vertical="center" wrapText="1"/>
    </xf>
    <xf numFmtId="0" fontId="10" fillId="22" borderId="39"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4" xfId="0" applyFont="1" applyFill="1" applyBorder="1" applyAlignment="1">
      <alignment horizontal="center" vertical="center" wrapText="1"/>
    </xf>
    <xf numFmtId="3" fontId="12" fillId="2" borderId="10"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3" fontId="12" fillId="2" borderId="15" xfId="0" applyNumberFormat="1" applyFont="1" applyFill="1" applyBorder="1" applyAlignment="1">
      <alignment horizontal="center" vertical="center"/>
    </xf>
    <xf numFmtId="0" fontId="0" fillId="4" borderId="38" xfId="0" applyFill="1" applyBorder="1" applyAlignment="1">
      <alignment horizontal="center"/>
    </xf>
    <xf numFmtId="0" fontId="0" fillId="4" borderId="42" xfId="0" applyFill="1" applyBorder="1" applyAlignment="1">
      <alignment horizontal="center"/>
    </xf>
    <xf numFmtId="0" fontId="29" fillId="13" borderId="5" xfId="0" applyFont="1" applyFill="1" applyBorder="1" applyAlignment="1">
      <alignment horizontal="left" vertical="top" wrapText="1"/>
    </xf>
    <xf numFmtId="0" fontId="29" fillId="14" borderId="5" xfId="0" applyFont="1" applyFill="1" applyBorder="1" applyAlignment="1">
      <alignment horizontal="left" vertical="top" wrapText="1"/>
    </xf>
    <xf numFmtId="0" fontId="29" fillId="19" borderId="36" xfId="0" applyFont="1" applyFill="1" applyBorder="1" applyAlignment="1">
      <alignment horizontal="left" vertical="top" wrapText="1"/>
    </xf>
    <xf numFmtId="0" fontId="15" fillId="11" borderId="52" xfId="0" applyFont="1" applyFill="1" applyBorder="1" applyAlignment="1">
      <alignment horizontal="center" vertical="center"/>
    </xf>
    <xf numFmtId="0" fontId="15" fillId="11" borderId="19"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19" xfId="0" applyFont="1" applyFill="1" applyBorder="1" applyAlignment="1">
      <alignment horizontal="center" vertical="center"/>
    </xf>
    <xf numFmtId="0" fontId="20" fillId="22" borderId="38" xfId="0" applyFont="1" applyFill="1" applyBorder="1" applyAlignment="1">
      <alignment horizontal="center" vertical="center" wrapText="1"/>
    </xf>
    <xf numFmtId="0" fontId="20" fillId="22" borderId="39"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65" xfId="0" applyFont="1" applyFill="1" applyBorder="1" applyAlignment="1">
      <alignment horizontal="center" vertical="center" wrapText="1"/>
    </xf>
    <xf numFmtId="0" fontId="14" fillId="9" borderId="55" xfId="0" applyFont="1" applyFill="1" applyBorder="1" applyAlignment="1">
      <alignment horizontal="center" vertical="center" wrapText="1"/>
    </xf>
    <xf numFmtId="0" fontId="12" fillId="21" borderId="28" xfId="0" applyFont="1" applyFill="1" applyBorder="1" applyAlignment="1">
      <alignment horizontal="center" vertical="center" wrapText="1"/>
    </xf>
    <xf numFmtId="0" fontId="12" fillId="21" borderId="65" xfId="0" applyFont="1" applyFill="1" applyBorder="1" applyAlignment="1">
      <alignment horizontal="center" vertical="center" wrapText="1"/>
    </xf>
    <xf numFmtId="0" fontId="12" fillId="21" borderId="55" xfId="0" applyFont="1" applyFill="1" applyBorder="1" applyAlignment="1">
      <alignment horizontal="center" vertical="center" wrapText="1"/>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2" fillId="6" borderId="51"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44" xfId="0" applyFont="1" applyFill="1" applyBorder="1" applyAlignment="1">
      <alignment horizontal="left" vertical="center" wrapText="1"/>
    </xf>
    <xf numFmtId="0" fontId="46" fillId="2" borderId="23" xfId="0" applyFont="1" applyFill="1" applyBorder="1" applyAlignment="1">
      <alignment horizontal="center" vertical="center" wrapText="1"/>
    </xf>
    <xf numFmtId="0" fontId="46" fillId="2" borderId="25"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10" fillId="14" borderId="26" xfId="0" applyFont="1" applyFill="1" applyBorder="1" applyAlignment="1">
      <alignment horizontal="left" wrapText="1"/>
    </xf>
    <xf numFmtId="0" fontId="10" fillId="14" borderId="69" xfId="0" applyFont="1" applyFill="1" applyBorder="1" applyAlignment="1">
      <alignment horizontal="left" wrapText="1"/>
    </xf>
    <xf numFmtId="0" fontId="10" fillId="14" borderId="0" xfId="0" applyFont="1" applyFill="1" applyAlignment="1">
      <alignment horizontal="left" vertical="center" wrapText="1"/>
    </xf>
    <xf numFmtId="0" fontId="10" fillId="14" borderId="64" xfId="0" applyFont="1" applyFill="1" applyBorder="1" applyAlignment="1">
      <alignment horizontal="left" vertical="center" wrapText="1"/>
    </xf>
    <xf numFmtId="0" fontId="10" fillId="0" borderId="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1" fillId="4" borderId="38"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1" fillId="22" borderId="38" xfId="0" applyFont="1" applyFill="1" applyBorder="1" applyAlignment="1">
      <alignment horizontal="center" vertical="center" wrapText="1"/>
    </xf>
    <xf numFmtId="0" fontId="11" fillId="22" borderId="42" xfId="0" applyFont="1" applyFill="1" applyBorder="1" applyAlignment="1">
      <alignment horizontal="center" vertical="center" wrapText="1"/>
    </xf>
    <xf numFmtId="0" fontId="14" fillId="12" borderId="51" xfId="0" applyFont="1" applyFill="1" applyBorder="1" applyAlignment="1">
      <alignment horizontal="left" vertical="center" wrapText="1"/>
    </xf>
    <xf numFmtId="0" fontId="14" fillId="12" borderId="36" xfId="0" applyFont="1" applyFill="1" applyBorder="1" applyAlignment="1">
      <alignment horizontal="left" vertical="center" wrapText="1"/>
    </xf>
    <xf numFmtId="0" fontId="14" fillId="12" borderId="44" xfId="0" applyFont="1" applyFill="1" applyBorder="1" applyAlignment="1">
      <alignment horizontal="left" vertical="center" wrapText="1"/>
    </xf>
    <xf numFmtId="0" fontId="15" fillId="21" borderId="2" xfId="0" applyFont="1" applyFill="1" applyBorder="1" applyAlignment="1">
      <alignment horizontal="left" vertical="center" wrapText="1"/>
    </xf>
    <xf numFmtId="0" fontId="15" fillId="21" borderId="5" xfId="0" applyFont="1" applyFill="1" applyBorder="1" applyAlignment="1">
      <alignment horizontal="left" vertical="center" wrapText="1"/>
    </xf>
    <xf numFmtId="0" fontId="15" fillId="21" borderId="3" xfId="0" applyFont="1" applyFill="1" applyBorder="1" applyAlignment="1">
      <alignment horizontal="left" vertical="center" wrapText="1"/>
    </xf>
    <xf numFmtId="0" fontId="15" fillId="2" borderId="20" xfId="0" applyFont="1" applyFill="1" applyBorder="1" applyAlignment="1">
      <alignment horizontal="center" vertical="center" wrapText="1"/>
    </xf>
    <xf numFmtId="0" fontId="11" fillId="22" borderId="10" xfId="0" applyFont="1" applyFill="1" applyBorder="1" applyAlignment="1">
      <alignment horizontal="left" vertical="center" indent="1"/>
    </xf>
    <xf numFmtId="0" fontId="11" fillId="22" borderId="11" xfId="0" applyFont="1" applyFill="1" applyBorder="1" applyAlignment="1">
      <alignment horizontal="left" vertical="center" indent="1"/>
    </xf>
    <xf numFmtId="0" fontId="11" fillId="0" borderId="1" xfId="0" applyFont="1" applyBorder="1" applyAlignment="1">
      <alignment horizontal="left" vertical="center" indent="1"/>
    </xf>
    <xf numFmtId="0" fontId="11" fillId="22" borderId="1" xfId="0" applyFont="1" applyFill="1" applyBorder="1" applyAlignment="1">
      <alignment horizontal="left" vertical="center" indent="1"/>
    </xf>
    <xf numFmtId="0" fontId="11" fillId="22" borderId="13" xfId="0" applyFont="1" applyFill="1" applyBorder="1" applyAlignment="1">
      <alignment horizontal="left" vertical="center" indent="1"/>
    </xf>
    <xf numFmtId="0" fontId="11" fillId="0" borderId="18"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21" xfId="0" applyFont="1" applyBorder="1" applyAlignment="1" applyProtection="1">
      <alignment horizontal="left" vertical="center" indent="1"/>
      <protection locked="0"/>
    </xf>
    <xf numFmtId="0" fontId="11" fillId="22" borderId="15" xfId="0" applyFont="1" applyFill="1" applyBorder="1" applyAlignment="1">
      <alignment horizontal="left" vertical="center" indent="1"/>
    </xf>
    <xf numFmtId="0" fontId="11" fillId="22" borderId="16" xfId="0" applyFont="1" applyFill="1" applyBorder="1" applyAlignment="1">
      <alignment horizontal="left" vertical="center" indent="1"/>
    </xf>
    <xf numFmtId="0" fontId="12" fillId="21" borderId="9" xfId="0" applyFont="1" applyFill="1" applyBorder="1" applyAlignment="1">
      <alignment horizontal="left" vertical="center" wrapText="1"/>
    </xf>
    <xf numFmtId="0" fontId="12" fillId="21" borderId="10"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4" fillId="13" borderId="0" xfId="0" applyFont="1" applyFill="1" applyAlignment="1">
      <alignment horizontal="center" vertical="center"/>
    </xf>
    <xf numFmtId="0" fontId="46" fillId="2" borderId="50" xfId="0" applyFont="1" applyFill="1" applyBorder="1" applyAlignment="1">
      <alignment horizontal="center" vertical="center" wrapText="1"/>
    </xf>
    <xf numFmtId="0" fontId="46" fillId="2" borderId="63" xfId="0" applyFont="1" applyFill="1" applyBorder="1" applyAlignment="1">
      <alignment horizontal="center" vertical="center" wrapText="1"/>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 fillId="2" borderId="51" xfId="0" applyFont="1" applyFill="1" applyBorder="1" applyAlignment="1">
      <alignment horizontal="right" vertical="center" wrapText="1" indent="1"/>
    </xf>
    <xf numFmtId="0" fontId="38" fillId="2" borderId="36" xfId="0" applyFont="1" applyFill="1" applyBorder="1" applyAlignment="1">
      <alignment horizontal="right" vertical="center" wrapText="1" indent="1"/>
    </xf>
    <xf numFmtId="0" fontId="38" fillId="2" borderId="44" xfId="0" applyFont="1" applyFill="1" applyBorder="1" applyAlignment="1">
      <alignment horizontal="right" vertical="center" wrapText="1" indent="1"/>
    </xf>
    <xf numFmtId="0" fontId="15" fillId="2" borderId="2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0" fillId="13" borderId="66" xfId="0" applyFont="1" applyFill="1" applyBorder="1" applyAlignment="1">
      <alignment horizontal="left" vertical="center" wrapText="1" indent="1"/>
    </xf>
    <xf numFmtId="0" fontId="10" fillId="13" borderId="45" xfId="0" applyFont="1" applyFill="1" applyBorder="1" applyAlignment="1">
      <alignment horizontal="left" vertical="center" wrapText="1" indent="1"/>
    </xf>
    <xf numFmtId="0" fontId="10" fillId="13" borderId="26" xfId="0" applyFont="1" applyFill="1" applyBorder="1" applyAlignment="1">
      <alignment horizontal="left" vertical="center" wrapText="1"/>
    </xf>
    <xf numFmtId="0" fontId="10" fillId="13" borderId="69" xfId="0" applyFont="1" applyFill="1" applyBorder="1" applyAlignment="1">
      <alignment horizontal="left" vertical="center" wrapText="1"/>
    </xf>
    <xf numFmtId="0" fontId="10" fillId="13" borderId="0" xfId="0" applyFont="1" applyFill="1" applyAlignment="1">
      <alignment horizontal="left" vertical="center" wrapText="1"/>
    </xf>
    <xf numFmtId="0" fontId="10" fillId="13" borderId="64" xfId="0" applyFont="1" applyFill="1" applyBorder="1" applyAlignment="1">
      <alignment horizontal="left" vertical="center" wrapText="1"/>
    </xf>
    <xf numFmtId="0" fontId="15" fillId="3" borderId="20"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4" fillId="14" borderId="0" xfId="0" applyFont="1" applyFill="1" applyAlignment="1">
      <alignment horizontal="center" vertical="center"/>
    </xf>
    <xf numFmtId="0" fontId="10" fillId="2" borderId="26"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64"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38" fillId="2" borderId="29" xfId="0" applyFont="1" applyFill="1" applyBorder="1" applyAlignment="1">
      <alignment horizontal="right" vertical="center" wrapText="1"/>
    </xf>
    <xf numFmtId="0" fontId="38" fillId="2" borderId="71" xfId="0" applyFont="1" applyFill="1" applyBorder="1" applyAlignment="1">
      <alignment horizontal="right" vertical="center" wrapText="1"/>
    </xf>
    <xf numFmtId="0" fontId="10" fillId="14" borderId="0" xfId="0" applyFont="1" applyFill="1" applyAlignment="1">
      <alignment horizontal="left" vertical="top" wrapText="1"/>
    </xf>
    <xf numFmtId="0" fontId="10" fillId="14" borderId="36" xfId="0" applyFont="1" applyFill="1" applyBorder="1" applyAlignment="1">
      <alignment horizontal="left" vertical="top" wrapText="1"/>
    </xf>
    <xf numFmtId="0" fontId="10" fillId="14" borderId="44" xfId="0" applyFont="1" applyFill="1" applyBorder="1" applyAlignment="1">
      <alignment horizontal="left" vertical="top" wrapText="1"/>
    </xf>
    <xf numFmtId="0" fontId="12" fillId="2" borderId="9" xfId="0" applyFont="1" applyFill="1" applyBorder="1" applyAlignment="1">
      <alignment horizontal="center" vertical="center" wrapText="1"/>
    </xf>
    <xf numFmtId="0" fontId="12" fillId="2" borderId="56" xfId="0" applyFont="1" applyFill="1" applyBorder="1" applyAlignment="1">
      <alignment horizontal="center" vertical="center" wrapText="1"/>
    </xf>
    <xf numFmtId="3" fontId="12" fillId="2" borderId="34" xfId="0" applyNumberFormat="1" applyFont="1" applyFill="1" applyBorder="1" applyAlignment="1">
      <alignment horizontal="center" vertical="center"/>
    </xf>
    <xf numFmtId="3" fontId="12" fillId="2" borderId="27" xfId="0" applyNumberFormat="1" applyFont="1" applyFill="1" applyBorder="1" applyAlignment="1">
      <alignment horizontal="center" vertical="center"/>
    </xf>
    <xf numFmtId="3" fontId="12" fillId="2" borderId="7" xfId="0" applyNumberFormat="1" applyFont="1" applyFill="1" applyBorder="1" applyAlignment="1">
      <alignment horizontal="center" vertical="center"/>
    </xf>
    <xf numFmtId="3" fontId="12" fillId="2" borderId="8" xfId="0" applyNumberFormat="1" applyFont="1" applyFill="1" applyBorder="1" applyAlignment="1">
      <alignment horizontal="center" vertical="center"/>
    </xf>
    <xf numFmtId="3" fontId="12" fillId="2" borderId="35" xfId="0" applyNumberFormat="1" applyFont="1" applyFill="1" applyBorder="1" applyAlignment="1">
      <alignment horizontal="center" vertical="center"/>
    </xf>
    <xf numFmtId="3" fontId="12" fillId="2" borderId="37" xfId="0" applyNumberFormat="1" applyFont="1" applyFill="1" applyBorder="1" applyAlignment="1">
      <alignment horizontal="center" vertical="center"/>
    </xf>
    <xf numFmtId="0" fontId="14" fillId="19" borderId="0" xfId="0" applyFont="1" applyFill="1" applyAlignment="1">
      <alignment horizontal="center" vertical="center"/>
    </xf>
    <xf numFmtId="0" fontId="15" fillId="8" borderId="18"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21" xfId="0" applyFont="1" applyFill="1" applyBorder="1" applyAlignment="1">
      <alignment horizontal="center" vertical="center"/>
    </xf>
    <xf numFmtId="0" fontId="46" fillId="9" borderId="23" xfId="0" applyFont="1" applyFill="1" applyBorder="1" applyAlignment="1">
      <alignment horizontal="center" vertical="center" wrapText="1"/>
    </xf>
    <xf numFmtId="0" fontId="46" fillId="9" borderId="25" xfId="0" applyFont="1" applyFill="1" applyBorder="1" applyAlignment="1">
      <alignment horizontal="center" vertical="center" wrapText="1"/>
    </xf>
    <xf numFmtId="0" fontId="46" fillId="9" borderId="33" xfId="0" applyFont="1" applyFill="1" applyBorder="1" applyAlignment="1">
      <alignment horizontal="center" vertical="center" wrapText="1"/>
    </xf>
    <xf numFmtId="0" fontId="15" fillId="11" borderId="20" xfId="0" applyFont="1" applyFill="1" applyBorder="1" applyAlignment="1">
      <alignment horizontal="center" vertical="center"/>
    </xf>
    <xf numFmtId="0" fontId="15" fillId="19" borderId="66" xfId="0" applyFont="1" applyFill="1" applyBorder="1" applyAlignment="1">
      <alignment horizontal="left" vertical="center" wrapText="1" indent="1"/>
    </xf>
    <xf numFmtId="0" fontId="15" fillId="19" borderId="26" xfId="0" applyFont="1" applyFill="1" applyBorder="1" applyAlignment="1">
      <alignment horizontal="left" vertical="center" wrapText="1" indent="1"/>
    </xf>
    <xf numFmtId="0" fontId="15" fillId="19" borderId="51" xfId="0" applyFont="1" applyFill="1" applyBorder="1" applyAlignment="1">
      <alignment horizontal="left" vertical="center" wrapText="1" indent="1"/>
    </xf>
    <xf numFmtId="0" fontId="15" fillId="19" borderId="36" xfId="0" applyFont="1" applyFill="1" applyBorder="1" applyAlignment="1">
      <alignment horizontal="left" vertical="center" wrapText="1" indent="1"/>
    </xf>
    <xf numFmtId="0" fontId="10" fillId="19" borderId="26" xfId="0" applyFont="1" applyFill="1" applyBorder="1" applyAlignment="1">
      <alignment horizontal="left" wrapText="1"/>
    </xf>
    <xf numFmtId="0" fontId="10" fillId="19" borderId="69" xfId="0" applyFont="1" applyFill="1" applyBorder="1" applyAlignment="1">
      <alignment horizontal="left" wrapText="1"/>
    </xf>
    <xf numFmtId="0" fontId="10" fillId="19" borderId="36" xfId="0" applyFont="1" applyFill="1" applyBorder="1" applyAlignment="1">
      <alignment horizontal="left" vertical="top" wrapText="1"/>
    </xf>
    <xf numFmtId="0" fontId="12" fillId="19" borderId="36" xfId="0" applyFont="1" applyFill="1" applyBorder="1" applyAlignment="1">
      <alignment horizontal="left" vertical="top" wrapText="1"/>
    </xf>
    <xf numFmtId="0" fontId="12" fillId="19" borderId="44" xfId="0" applyFont="1" applyFill="1" applyBorder="1" applyAlignment="1">
      <alignment horizontal="left" vertical="top" wrapText="1"/>
    </xf>
    <xf numFmtId="0" fontId="20" fillId="0" borderId="38" xfId="0" applyFont="1" applyBorder="1" applyAlignment="1" applyProtection="1">
      <alignment horizontal="center" vertical="center" wrapText="1"/>
      <protection locked="0"/>
    </xf>
    <xf numFmtId="0" fontId="20" fillId="0" borderId="39" xfId="0" applyFont="1" applyBorder="1" applyAlignment="1" applyProtection="1">
      <alignment horizontal="center" vertical="center" wrapText="1"/>
      <protection locked="0"/>
    </xf>
    <xf numFmtId="0" fontId="15" fillId="9" borderId="6"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20" fillId="0" borderId="40"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30" fillId="0" borderId="5" xfId="0" applyFont="1" applyBorder="1" applyAlignment="1">
      <alignment horizontal="center"/>
    </xf>
    <xf numFmtId="0" fontId="10" fillId="0" borderId="5" xfId="0" applyFont="1" applyBorder="1" applyAlignment="1">
      <alignment horizontal="center" vertical="center"/>
    </xf>
    <xf numFmtId="0" fontId="30" fillId="21" borderId="45" xfId="0" applyFont="1" applyFill="1" applyBorder="1" applyAlignment="1">
      <alignment horizontal="left" vertical="top" wrapText="1"/>
    </xf>
    <xf numFmtId="0" fontId="30" fillId="21" borderId="0" xfId="0" applyFont="1" applyFill="1" applyAlignment="1">
      <alignment horizontal="left" vertical="top" wrapText="1"/>
    </xf>
    <xf numFmtId="0" fontId="30" fillId="21" borderId="64" xfId="0" applyFont="1" applyFill="1" applyBorder="1" applyAlignment="1">
      <alignment horizontal="left" vertical="top" wrapText="1"/>
    </xf>
    <xf numFmtId="0" fontId="47" fillId="21" borderId="66" xfId="0" applyFont="1" applyFill="1" applyBorder="1" applyAlignment="1">
      <alignment horizontal="left" vertical="center"/>
    </xf>
    <xf numFmtId="0" fontId="47" fillId="21" borderId="26" xfId="0" applyFont="1" applyFill="1" applyBorder="1" applyAlignment="1">
      <alignment horizontal="left" vertical="center"/>
    </xf>
    <xf numFmtId="0" fontId="47" fillId="21" borderId="69" xfId="0" applyFont="1" applyFill="1" applyBorder="1" applyAlignment="1">
      <alignment horizontal="left" vertical="center"/>
    </xf>
    <xf numFmtId="0" fontId="47" fillId="21" borderId="45" xfId="0" applyFont="1" applyFill="1" applyBorder="1" applyAlignment="1">
      <alignment horizontal="left" vertical="center"/>
    </xf>
    <xf numFmtId="0" fontId="47" fillId="21" borderId="0" xfId="0" applyFont="1" applyFill="1" applyAlignment="1">
      <alignment horizontal="left" vertical="center"/>
    </xf>
    <xf numFmtId="0" fontId="47" fillId="21" borderId="64" xfId="0" applyFont="1" applyFill="1" applyBorder="1" applyAlignment="1">
      <alignment horizontal="left" vertical="center"/>
    </xf>
    <xf numFmtId="0" fontId="30" fillId="21" borderId="51" xfId="0" applyFont="1" applyFill="1" applyBorder="1" applyAlignment="1">
      <alignment horizontal="left" vertical="top" wrapText="1"/>
    </xf>
    <xf numFmtId="0" fontId="30" fillId="21" borderId="36" xfId="0" applyFont="1" applyFill="1" applyBorder="1" applyAlignment="1">
      <alignment horizontal="left" vertical="top" wrapText="1"/>
    </xf>
    <xf numFmtId="0" fontId="30" fillId="21" borderId="44" xfId="0" applyFont="1" applyFill="1" applyBorder="1" applyAlignment="1">
      <alignment horizontal="left" vertical="top" wrapText="1"/>
    </xf>
    <xf numFmtId="0" fontId="10" fillId="14" borderId="66" xfId="0" applyFont="1" applyFill="1" applyBorder="1" applyAlignment="1">
      <alignment horizontal="left" vertical="center" wrapText="1" indent="1"/>
    </xf>
    <xf numFmtId="0" fontId="10" fillId="14" borderId="45" xfId="0" applyFont="1" applyFill="1" applyBorder="1" applyAlignment="1">
      <alignment horizontal="left" vertical="center" wrapText="1" indent="1"/>
    </xf>
    <xf numFmtId="0" fontId="12" fillId="6" borderId="14"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16" xfId="0" applyFont="1" applyFill="1" applyBorder="1" applyAlignment="1">
      <alignment horizontal="left" vertical="center" wrapText="1"/>
    </xf>
    <xf numFmtId="0" fontId="10" fillId="0" borderId="40"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47" fillId="21" borderId="52" xfId="0" applyFont="1" applyFill="1" applyBorder="1" applyAlignment="1">
      <alignment horizontal="left" vertical="center"/>
    </xf>
    <xf numFmtId="0" fontId="47" fillId="21" borderId="19" xfId="0" applyFont="1" applyFill="1" applyBorder="1" applyAlignment="1">
      <alignment horizontal="left" vertical="center"/>
    </xf>
    <xf numFmtId="0" fontId="47" fillId="21" borderId="21" xfId="0" applyFont="1" applyFill="1" applyBorder="1" applyAlignment="1">
      <alignment horizontal="left" vertical="center"/>
    </xf>
    <xf numFmtId="0" fontId="58" fillId="0" borderId="45" xfId="0" applyFont="1" applyBorder="1" applyAlignment="1" applyProtection="1">
      <alignment horizontal="center" vertical="top"/>
      <protection locked="0"/>
    </xf>
    <xf numFmtId="0" fontId="58" fillId="0" borderId="0" xfId="0" applyFont="1" applyAlignment="1" applyProtection="1">
      <alignment horizontal="center" vertical="top"/>
      <protection locked="0"/>
    </xf>
    <xf numFmtId="0" fontId="58" fillId="0" borderId="64" xfId="0" applyFont="1" applyBorder="1" applyAlignment="1" applyProtection="1">
      <alignment horizontal="center" vertical="top"/>
      <protection locked="0"/>
    </xf>
    <xf numFmtId="0" fontId="58" fillId="0" borderId="51" xfId="0" applyFont="1" applyBorder="1" applyAlignment="1" applyProtection="1">
      <alignment horizontal="center" vertical="top"/>
      <protection locked="0"/>
    </xf>
    <xf numFmtId="0" fontId="58" fillId="0" borderId="36" xfId="0" applyFont="1" applyBorder="1" applyAlignment="1" applyProtection="1">
      <alignment horizontal="center" vertical="top"/>
      <protection locked="0"/>
    </xf>
    <xf numFmtId="0" fontId="58" fillId="0" borderId="44" xfId="0" applyFont="1" applyBorder="1" applyAlignment="1" applyProtection="1">
      <alignment horizontal="center" vertical="top"/>
      <protection locked="0"/>
    </xf>
    <xf numFmtId="0" fontId="29" fillId="0" borderId="0" xfId="0" applyFont="1" applyAlignment="1">
      <alignment horizontal="left" vertical="top" wrapText="1"/>
    </xf>
    <xf numFmtId="0" fontId="15" fillId="21" borderId="30" xfId="0" applyFont="1" applyFill="1" applyBorder="1" applyAlignment="1">
      <alignment horizontal="left" vertical="center"/>
    </xf>
    <xf numFmtId="0" fontId="15" fillId="21" borderId="31" xfId="0" applyFont="1" applyFill="1" applyBorder="1" applyAlignment="1">
      <alignment horizontal="left" vertical="center"/>
    </xf>
    <xf numFmtId="0" fontId="12" fillId="18" borderId="0" xfId="0" applyFont="1" applyFill="1" applyAlignment="1">
      <alignment horizontal="left" vertical="center" wrapText="1"/>
    </xf>
    <xf numFmtId="0" fontId="10" fillId="4" borderId="30"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0" fillId="4" borderId="45" xfId="0" applyFill="1" applyBorder="1" applyAlignment="1">
      <alignment horizontal="center"/>
    </xf>
    <xf numFmtId="0" fontId="0" fillId="4" borderId="0" xfId="0" applyFill="1" applyAlignment="1">
      <alignment horizontal="center"/>
    </xf>
    <xf numFmtId="0" fontId="0" fillId="16" borderId="13" xfId="0" applyFill="1" applyBorder="1" applyAlignment="1">
      <alignment horizontal="center" vertical="center"/>
    </xf>
    <xf numFmtId="0" fontId="0" fillId="16" borderId="16" xfId="0" applyFill="1" applyBorder="1" applyAlignment="1">
      <alignment horizontal="center" vertic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16" borderId="59" xfId="0" applyFill="1" applyBorder="1" applyAlignment="1">
      <alignment horizontal="center" vertical="center"/>
    </xf>
    <xf numFmtId="0" fontId="0" fillId="16" borderId="60" xfId="0" applyFill="1" applyBorder="1" applyAlignment="1">
      <alignment horizontal="center" vertical="center"/>
    </xf>
    <xf numFmtId="0" fontId="0" fillId="16" borderId="54" xfId="0" applyFill="1" applyBorder="1" applyAlignment="1">
      <alignment horizontal="center" vertical="center"/>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378">
    <dxf>
      <font>
        <color theme="2" tint="-9.9948118533890809E-2"/>
      </font>
    </dxf>
    <dxf>
      <fill>
        <patternFill>
          <bgColor theme="2" tint="-9.9948118533890809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ill>
        <patternFill>
          <bgColor theme="2" tint="-9.9948118533890809E-2"/>
        </patternFill>
      </fill>
    </dxf>
    <dxf>
      <font>
        <color rgb="FF9C0006"/>
      </font>
      <fill>
        <patternFill>
          <fgColor auto="1"/>
          <bgColor theme="7" tint="0.79998168889431442"/>
        </patternFill>
      </fill>
    </dxf>
    <dxf>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theme="0"/>
      </font>
      <fill>
        <patternFill>
          <bgColor theme="0"/>
        </patternFill>
      </fill>
      <border>
        <left/>
        <right/>
        <top/>
        <bottom/>
      </border>
    </dxf>
    <dxf>
      <fill>
        <patternFill>
          <bgColor theme="2" tint="-9.9948118533890809E-2"/>
        </patternFill>
      </fill>
    </dxf>
    <dxf>
      <font>
        <color theme="2" tint="-9.9948118533890809E-2"/>
      </font>
      <fill>
        <patternFill>
          <bgColor theme="2" tint="-9.9948118533890809E-2"/>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bgColor rgb="FFFFC7CE"/>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theme="2" tint="-9.9948118533890809E-2"/>
      </font>
    </dxf>
    <dxf>
      <font>
        <color theme="2" tint="-9.9948118533890809E-2"/>
      </font>
    </dxf>
    <dxf>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bgColor rgb="FFFFC7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tint="-9.9948118533890809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tint="-9.9948118533890809E-2"/>
        </patternFill>
      </fill>
    </dxf>
    <dxf>
      <font>
        <color theme="2" tint="-9.9948118533890809E-2"/>
      </font>
      <fill>
        <patternFill>
          <bgColor theme="2" tint="-9.9948118533890809E-2"/>
        </patternFill>
      </fill>
    </dxf>
    <dxf>
      <font>
        <color rgb="FF9C0006"/>
      </font>
      <fill>
        <patternFill>
          <fgColor auto="1"/>
          <bgColor theme="7"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theme="2" tint="-9.9948118533890809E-2"/>
      </font>
    </dxf>
    <dxf>
      <font>
        <color theme="2" tint="-9.9948118533890809E-2"/>
      </font>
      <fill>
        <patternFill>
          <bgColor theme="2" tint="-9.9948118533890809E-2"/>
        </patternFill>
      </fill>
    </dxf>
    <dxf>
      <fill>
        <patternFill>
          <bgColor theme="2" tint="-9.9948118533890809E-2"/>
        </patternFill>
      </fill>
    </dxf>
    <dxf>
      <font>
        <color theme="2" tint="-9.9948118533890809E-2"/>
      </font>
    </dxf>
    <dxf>
      <font>
        <color theme="2" tint="-9.9948118533890809E-2"/>
      </font>
      <fill>
        <patternFill>
          <bgColor theme="2" tint="-9.9948118533890809E-2"/>
        </patternFill>
      </fill>
    </dxf>
    <dxf>
      <fill>
        <patternFill>
          <bgColor theme="2" tint="-9.9948118533890809E-2"/>
        </patternFill>
      </fill>
    </dxf>
    <dxf>
      <font>
        <color theme="2" tint="-9.9948118533890809E-2"/>
      </font>
    </dxf>
    <dxf>
      <fill>
        <patternFill>
          <bgColor theme="7" tint="0.59996337778862885"/>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ill>
        <patternFill>
          <bgColor theme="4" tint="0.79998168889431442"/>
        </patternFill>
      </fill>
    </dxf>
    <dxf>
      <fill>
        <patternFill>
          <bgColor theme="4"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0CECE"/>
      <color rgb="FFE7E6E6"/>
      <color rgb="FFECECEC"/>
      <color rgb="FFF3F3F3"/>
      <color rgb="FFFF9393"/>
      <color rgb="FFD6BBEB"/>
      <color rgb="FFCAD2DC"/>
      <color rgb="FFFFFFCC"/>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1697831</xdr:colOff>
      <xdr:row>14</xdr:row>
      <xdr:rowOff>90487</xdr:rowOff>
    </xdr:from>
    <xdr:ext cx="65" cy="172227"/>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41831" y="4257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cs-CZ" sz="1100"/>
        </a:p>
      </xdr:txBody>
    </xdr:sp>
    <xdr:clientData/>
  </xdr:oneCellAnchor>
  <xdr:twoCellAnchor editAs="oneCell">
    <xdr:from>
      <xdr:col>1</xdr:col>
      <xdr:colOff>194672</xdr:colOff>
      <xdr:row>8</xdr:row>
      <xdr:rowOff>57219</xdr:rowOff>
    </xdr:from>
    <xdr:to>
      <xdr:col>1</xdr:col>
      <xdr:colOff>571835</xdr:colOff>
      <xdr:row>8</xdr:row>
      <xdr:rowOff>431623</xdr:rowOff>
    </xdr:to>
    <xdr:pic>
      <xdr:nvPicPr>
        <xdr:cNvPr id="4" name="Obrázek 3">
          <a:extLst>
            <a:ext uri="{FF2B5EF4-FFF2-40B4-BE49-F238E27FC236}">
              <a16:creationId xmlns:a16="http://schemas.microsoft.com/office/drawing/2014/main" id="{094C6B66-F02C-3AF5-B3B8-56C952217AFC}"/>
            </a:ext>
          </a:extLst>
        </xdr:cNvPr>
        <xdr:cNvPicPr>
          <a:picLocks noChangeAspect="1"/>
        </xdr:cNvPicPr>
      </xdr:nvPicPr>
      <xdr:blipFill>
        <a:blip xmlns:r="http://schemas.openxmlformats.org/officeDocument/2006/relationships" r:embed="rId1"/>
        <a:stretch>
          <a:fillRect/>
        </a:stretch>
      </xdr:blipFill>
      <xdr:spPr>
        <a:xfrm rot="6739397">
          <a:off x="672302" y="1728667"/>
          <a:ext cx="374404" cy="377163"/>
        </a:xfrm>
        <a:prstGeom prst="rect">
          <a:avLst/>
        </a:prstGeom>
      </xdr:spPr>
    </xdr:pic>
    <xdr:clientData/>
  </xdr:twoCellAnchor>
  <xdr:twoCellAnchor editAs="oneCell">
    <xdr:from>
      <xdr:col>1</xdr:col>
      <xdr:colOff>162525</xdr:colOff>
      <xdr:row>10</xdr:row>
      <xdr:rowOff>60791</xdr:rowOff>
    </xdr:from>
    <xdr:to>
      <xdr:col>1</xdr:col>
      <xdr:colOff>539688</xdr:colOff>
      <xdr:row>10</xdr:row>
      <xdr:rowOff>435195</xdr:rowOff>
    </xdr:to>
    <xdr:pic>
      <xdr:nvPicPr>
        <xdr:cNvPr id="8" name="Obrázek 7">
          <a:extLst>
            <a:ext uri="{FF2B5EF4-FFF2-40B4-BE49-F238E27FC236}">
              <a16:creationId xmlns:a16="http://schemas.microsoft.com/office/drawing/2014/main" id="{5C3F5609-5994-45CB-8C87-6E8AE1B37B09}"/>
            </a:ext>
          </a:extLst>
        </xdr:cNvPr>
        <xdr:cNvPicPr>
          <a:picLocks noChangeAspect="1"/>
        </xdr:cNvPicPr>
      </xdr:nvPicPr>
      <xdr:blipFill>
        <a:blip xmlns:r="http://schemas.openxmlformats.org/officeDocument/2006/relationships" r:embed="rId1"/>
        <a:stretch>
          <a:fillRect/>
        </a:stretch>
      </xdr:blipFill>
      <xdr:spPr>
        <a:xfrm rot="6739397">
          <a:off x="640155" y="2416849"/>
          <a:ext cx="374404" cy="377163"/>
        </a:xfrm>
        <a:prstGeom prst="rect">
          <a:avLst/>
        </a:prstGeom>
      </xdr:spPr>
    </xdr:pic>
    <xdr:clientData/>
  </xdr:twoCellAnchor>
  <xdr:twoCellAnchor editAs="oneCell">
    <xdr:from>
      <xdr:col>1</xdr:col>
      <xdr:colOff>166099</xdr:colOff>
      <xdr:row>12</xdr:row>
      <xdr:rowOff>52456</xdr:rowOff>
    </xdr:from>
    <xdr:to>
      <xdr:col>1</xdr:col>
      <xdr:colOff>543262</xdr:colOff>
      <xdr:row>12</xdr:row>
      <xdr:rowOff>426860</xdr:rowOff>
    </xdr:to>
    <xdr:pic>
      <xdr:nvPicPr>
        <xdr:cNvPr id="9" name="Obrázek 8">
          <a:extLst>
            <a:ext uri="{FF2B5EF4-FFF2-40B4-BE49-F238E27FC236}">
              <a16:creationId xmlns:a16="http://schemas.microsoft.com/office/drawing/2014/main" id="{35E60EC3-3134-4253-AAE1-DFE77A47AA7F}"/>
            </a:ext>
          </a:extLst>
        </xdr:cNvPr>
        <xdr:cNvPicPr>
          <a:picLocks noChangeAspect="1"/>
        </xdr:cNvPicPr>
      </xdr:nvPicPr>
      <xdr:blipFill>
        <a:blip xmlns:r="http://schemas.openxmlformats.org/officeDocument/2006/relationships" r:embed="rId1"/>
        <a:stretch>
          <a:fillRect/>
        </a:stretch>
      </xdr:blipFill>
      <xdr:spPr>
        <a:xfrm rot="6739397">
          <a:off x="643729" y="3093123"/>
          <a:ext cx="374404" cy="377163"/>
        </a:xfrm>
        <a:prstGeom prst="rect">
          <a:avLst/>
        </a:prstGeom>
      </xdr:spPr>
    </xdr:pic>
    <xdr:clientData/>
  </xdr:twoCellAnchor>
  <xdr:twoCellAnchor editAs="oneCell">
    <xdr:from>
      <xdr:col>1</xdr:col>
      <xdr:colOff>157765</xdr:colOff>
      <xdr:row>14</xdr:row>
      <xdr:rowOff>61981</xdr:rowOff>
    </xdr:from>
    <xdr:to>
      <xdr:col>1</xdr:col>
      <xdr:colOff>534928</xdr:colOff>
      <xdr:row>14</xdr:row>
      <xdr:rowOff>436385</xdr:rowOff>
    </xdr:to>
    <xdr:pic>
      <xdr:nvPicPr>
        <xdr:cNvPr id="10" name="Obrázek 9">
          <a:extLst>
            <a:ext uri="{FF2B5EF4-FFF2-40B4-BE49-F238E27FC236}">
              <a16:creationId xmlns:a16="http://schemas.microsoft.com/office/drawing/2014/main" id="{C1F27235-D279-4C78-BB5B-71D42ECC7BBC}"/>
            </a:ext>
          </a:extLst>
        </xdr:cNvPr>
        <xdr:cNvPicPr>
          <a:picLocks noChangeAspect="1"/>
        </xdr:cNvPicPr>
      </xdr:nvPicPr>
      <xdr:blipFill>
        <a:blip xmlns:r="http://schemas.openxmlformats.org/officeDocument/2006/relationships" r:embed="rId1"/>
        <a:stretch>
          <a:fillRect/>
        </a:stretch>
      </xdr:blipFill>
      <xdr:spPr>
        <a:xfrm rot="6739397">
          <a:off x="635395" y="3787257"/>
          <a:ext cx="374404" cy="377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162983</xdr:colOff>
      <xdr:row>74</xdr:row>
      <xdr:rowOff>0</xdr:rowOff>
    </xdr:from>
    <xdr:to>
      <xdr:col>1</xdr:col>
      <xdr:colOff>540146</xdr:colOff>
      <xdr:row>75</xdr:row>
      <xdr:rowOff>173321</xdr:rowOff>
    </xdr:to>
    <xdr:pic>
      <xdr:nvPicPr>
        <xdr:cNvPr id="2" name="Obrázek 1">
          <a:extLst>
            <a:ext uri="{FF2B5EF4-FFF2-40B4-BE49-F238E27FC236}">
              <a16:creationId xmlns:a16="http://schemas.microsoft.com/office/drawing/2014/main" id="{6B743FFF-8F9E-4209-8D15-B8AC58C03208}"/>
            </a:ext>
          </a:extLst>
        </xdr:cNvPr>
        <xdr:cNvPicPr>
          <a:picLocks noChangeAspect="1"/>
        </xdr:cNvPicPr>
      </xdr:nvPicPr>
      <xdr:blipFill>
        <a:blip xmlns:r="http://schemas.openxmlformats.org/officeDocument/2006/relationships" r:embed="rId1"/>
        <a:stretch>
          <a:fillRect/>
        </a:stretch>
      </xdr:blipFill>
      <xdr:spPr>
        <a:xfrm rot="6739397">
          <a:off x="545892" y="21381716"/>
          <a:ext cx="373346" cy="3771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148167</xdr:colOff>
      <xdr:row>63</xdr:row>
      <xdr:rowOff>0</xdr:rowOff>
    </xdr:from>
    <xdr:to>
      <xdr:col>1</xdr:col>
      <xdr:colOff>525330</xdr:colOff>
      <xdr:row>65</xdr:row>
      <xdr:rowOff>11396</xdr:rowOff>
    </xdr:to>
    <xdr:pic>
      <xdr:nvPicPr>
        <xdr:cNvPr id="2" name="Obrázek 1">
          <a:extLst>
            <a:ext uri="{FF2B5EF4-FFF2-40B4-BE49-F238E27FC236}">
              <a16:creationId xmlns:a16="http://schemas.microsoft.com/office/drawing/2014/main" id="{98D502C2-E2A9-4EC0-B2B4-664F44DD04D8}"/>
            </a:ext>
          </a:extLst>
        </xdr:cNvPr>
        <xdr:cNvPicPr>
          <a:picLocks noChangeAspect="1"/>
        </xdr:cNvPicPr>
      </xdr:nvPicPr>
      <xdr:blipFill>
        <a:blip xmlns:r="http://schemas.openxmlformats.org/officeDocument/2006/relationships" r:embed="rId1"/>
        <a:stretch>
          <a:fillRect/>
        </a:stretch>
      </xdr:blipFill>
      <xdr:spPr>
        <a:xfrm rot="6739397">
          <a:off x="510967" y="17544200"/>
          <a:ext cx="413563" cy="3771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137584</xdr:colOff>
      <xdr:row>64</xdr:row>
      <xdr:rowOff>1</xdr:rowOff>
    </xdr:from>
    <xdr:to>
      <xdr:col>1</xdr:col>
      <xdr:colOff>514747</xdr:colOff>
      <xdr:row>66</xdr:row>
      <xdr:rowOff>11398</xdr:rowOff>
    </xdr:to>
    <xdr:pic>
      <xdr:nvPicPr>
        <xdr:cNvPr id="2" name="Obrázek 1">
          <a:extLst>
            <a:ext uri="{FF2B5EF4-FFF2-40B4-BE49-F238E27FC236}">
              <a16:creationId xmlns:a16="http://schemas.microsoft.com/office/drawing/2014/main" id="{69D96AED-7AFC-454C-97B5-E12922A8A116}"/>
            </a:ext>
          </a:extLst>
        </xdr:cNvPr>
        <xdr:cNvPicPr>
          <a:picLocks noChangeAspect="1"/>
        </xdr:cNvPicPr>
      </xdr:nvPicPr>
      <xdr:blipFill>
        <a:blip xmlns:r="http://schemas.openxmlformats.org/officeDocument/2006/relationships" r:embed="rId1"/>
        <a:stretch>
          <a:fillRect/>
        </a:stretch>
      </xdr:blipFill>
      <xdr:spPr>
        <a:xfrm rot="6739397">
          <a:off x="500385" y="17396033"/>
          <a:ext cx="413562" cy="377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137584</xdr:colOff>
      <xdr:row>63</xdr:row>
      <xdr:rowOff>0</xdr:rowOff>
    </xdr:from>
    <xdr:to>
      <xdr:col>1</xdr:col>
      <xdr:colOff>514747</xdr:colOff>
      <xdr:row>65</xdr:row>
      <xdr:rowOff>11392</xdr:rowOff>
    </xdr:to>
    <xdr:pic>
      <xdr:nvPicPr>
        <xdr:cNvPr id="2" name="Obrázek 1">
          <a:extLst>
            <a:ext uri="{FF2B5EF4-FFF2-40B4-BE49-F238E27FC236}">
              <a16:creationId xmlns:a16="http://schemas.microsoft.com/office/drawing/2014/main" id="{EC2767B4-F514-4C16-885E-D46E52B336EA}"/>
            </a:ext>
          </a:extLst>
        </xdr:cNvPr>
        <xdr:cNvPicPr>
          <a:picLocks noChangeAspect="1"/>
        </xdr:cNvPicPr>
      </xdr:nvPicPr>
      <xdr:blipFill>
        <a:blip xmlns:r="http://schemas.openxmlformats.org/officeDocument/2006/relationships" r:embed="rId1"/>
        <a:stretch>
          <a:fillRect/>
        </a:stretch>
      </xdr:blipFill>
      <xdr:spPr>
        <a:xfrm rot="6739397">
          <a:off x="500385" y="17396032"/>
          <a:ext cx="413561" cy="3771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130377</xdr:colOff>
      <xdr:row>30</xdr:row>
      <xdr:rowOff>24212</xdr:rowOff>
    </xdr:from>
    <xdr:to>
      <xdr:col>55</xdr:col>
      <xdr:colOff>44544</xdr:colOff>
      <xdr:row>47</xdr:row>
      <xdr:rowOff>138297</xdr:rowOff>
    </xdr:to>
    <xdr:pic>
      <xdr:nvPicPr>
        <xdr:cNvPr id="3" name="Obráze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187056" y="7793891"/>
          <a:ext cx="15929776" cy="4704582"/>
        </a:xfrm>
        <a:prstGeom prst="rect">
          <a:avLst/>
        </a:prstGeom>
        <a:ln w="57150">
          <a:solidFill>
            <a:srgbClr val="FF0000"/>
          </a:solidFill>
        </a:ln>
      </xdr:spPr>
    </xdr:pic>
    <xdr:clientData/>
  </xdr:twoCellAnchor>
  <mc:AlternateContent xmlns:mc="http://schemas.openxmlformats.org/markup-compatibility/2006">
    <mc:Choice xmlns:a14="http://schemas.microsoft.com/office/drawing/2010/main" Requires="a14">
      <xdr:twoCellAnchor editAs="oneCell">
        <xdr:from>
          <xdr:col>1</xdr:col>
          <xdr:colOff>4267200</xdr:colOff>
          <xdr:row>38</xdr:row>
          <xdr:rowOff>9525</xdr:rowOff>
        </xdr:from>
        <xdr:to>
          <xdr:col>1</xdr:col>
          <xdr:colOff>4476750</xdr:colOff>
          <xdr:row>39</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C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39</xdr:row>
          <xdr:rowOff>9525</xdr:rowOff>
        </xdr:from>
        <xdr:to>
          <xdr:col>1</xdr:col>
          <xdr:colOff>4476750</xdr:colOff>
          <xdr:row>40</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C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40</xdr:row>
          <xdr:rowOff>9525</xdr:rowOff>
        </xdr:from>
        <xdr:to>
          <xdr:col>1</xdr:col>
          <xdr:colOff>4476750</xdr:colOff>
          <xdr:row>41</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C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41</xdr:row>
          <xdr:rowOff>9525</xdr:rowOff>
        </xdr:from>
        <xdr:to>
          <xdr:col>1</xdr:col>
          <xdr:colOff>4476750</xdr:colOff>
          <xdr:row>42</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C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42</xdr:row>
          <xdr:rowOff>9525</xdr:rowOff>
        </xdr:from>
        <xdr:to>
          <xdr:col>1</xdr:col>
          <xdr:colOff>4476750</xdr:colOff>
          <xdr:row>43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C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67</xdr:row>
          <xdr:rowOff>9525</xdr:rowOff>
        </xdr:from>
        <xdr:to>
          <xdr:col>1</xdr:col>
          <xdr:colOff>4476750</xdr:colOff>
          <xdr:row>68</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C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68</xdr:row>
          <xdr:rowOff>9525</xdr:rowOff>
        </xdr:from>
        <xdr:to>
          <xdr:col>1</xdr:col>
          <xdr:colOff>4476750</xdr:colOff>
          <xdr:row>69</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C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69</xdr:row>
          <xdr:rowOff>9525</xdr:rowOff>
        </xdr:from>
        <xdr:to>
          <xdr:col>1</xdr:col>
          <xdr:colOff>4476750</xdr:colOff>
          <xdr:row>70</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C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70</xdr:row>
          <xdr:rowOff>9525</xdr:rowOff>
        </xdr:from>
        <xdr:to>
          <xdr:col>1</xdr:col>
          <xdr:colOff>4476750</xdr:colOff>
          <xdr:row>71</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C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71</xdr:row>
          <xdr:rowOff>9525</xdr:rowOff>
        </xdr:from>
        <xdr:to>
          <xdr:col>1</xdr:col>
          <xdr:colOff>4476750</xdr:colOff>
          <xdr:row>72</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C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72</xdr:row>
          <xdr:rowOff>9525</xdr:rowOff>
        </xdr:from>
        <xdr:to>
          <xdr:col>1</xdr:col>
          <xdr:colOff>4476750</xdr:colOff>
          <xdr:row>73</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C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73</xdr:row>
          <xdr:rowOff>9525</xdr:rowOff>
        </xdr:from>
        <xdr:to>
          <xdr:col>1</xdr:col>
          <xdr:colOff>4476750</xdr:colOff>
          <xdr:row>74</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C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74</xdr:row>
          <xdr:rowOff>9525</xdr:rowOff>
        </xdr:from>
        <xdr:to>
          <xdr:col>1</xdr:col>
          <xdr:colOff>4476750</xdr:colOff>
          <xdr:row>75</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C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75</xdr:row>
          <xdr:rowOff>9525</xdr:rowOff>
        </xdr:from>
        <xdr:to>
          <xdr:col>1</xdr:col>
          <xdr:colOff>4476750</xdr:colOff>
          <xdr:row>76</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C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76</xdr:row>
          <xdr:rowOff>9525</xdr:rowOff>
        </xdr:from>
        <xdr:to>
          <xdr:col>1</xdr:col>
          <xdr:colOff>4476750</xdr:colOff>
          <xdr:row>77</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C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100</xdr:row>
          <xdr:rowOff>9525</xdr:rowOff>
        </xdr:from>
        <xdr:to>
          <xdr:col>1</xdr:col>
          <xdr:colOff>4476750</xdr:colOff>
          <xdr:row>101</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C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101</xdr:row>
          <xdr:rowOff>9525</xdr:rowOff>
        </xdr:from>
        <xdr:to>
          <xdr:col>1</xdr:col>
          <xdr:colOff>4476750</xdr:colOff>
          <xdr:row>102</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C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102</xdr:row>
          <xdr:rowOff>9525</xdr:rowOff>
        </xdr:from>
        <xdr:to>
          <xdr:col>1</xdr:col>
          <xdr:colOff>4476750</xdr:colOff>
          <xdr:row>103</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C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103</xdr:row>
          <xdr:rowOff>9525</xdr:rowOff>
        </xdr:from>
        <xdr:to>
          <xdr:col>1</xdr:col>
          <xdr:colOff>4476750</xdr:colOff>
          <xdr:row>104</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C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104</xdr:row>
          <xdr:rowOff>9525</xdr:rowOff>
        </xdr:from>
        <xdr:to>
          <xdr:col>1</xdr:col>
          <xdr:colOff>4476750</xdr:colOff>
          <xdr:row>105</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C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105</xdr:row>
          <xdr:rowOff>9525</xdr:rowOff>
        </xdr:from>
        <xdr:to>
          <xdr:col>1</xdr:col>
          <xdr:colOff>4476750</xdr:colOff>
          <xdr:row>106</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C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106</xdr:row>
          <xdr:rowOff>9525</xdr:rowOff>
        </xdr:from>
        <xdr:to>
          <xdr:col>1</xdr:col>
          <xdr:colOff>4476750</xdr:colOff>
          <xdr:row>107</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C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107</xdr:row>
          <xdr:rowOff>9525</xdr:rowOff>
        </xdr:from>
        <xdr:to>
          <xdr:col>1</xdr:col>
          <xdr:colOff>4476750</xdr:colOff>
          <xdr:row>108</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C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108</xdr:row>
          <xdr:rowOff>9525</xdr:rowOff>
        </xdr:from>
        <xdr:to>
          <xdr:col>1</xdr:col>
          <xdr:colOff>4476750</xdr:colOff>
          <xdr:row>109</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C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109</xdr:row>
          <xdr:rowOff>9525</xdr:rowOff>
        </xdr:from>
        <xdr:to>
          <xdr:col>1</xdr:col>
          <xdr:colOff>4476750</xdr:colOff>
          <xdr:row>110</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C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33</xdr:row>
          <xdr:rowOff>9525</xdr:rowOff>
        </xdr:from>
        <xdr:to>
          <xdr:col>1</xdr:col>
          <xdr:colOff>4476750</xdr:colOff>
          <xdr:row>34</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C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34</xdr:row>
          <xdr:rowOff>9525</xdr:rowOff>
        </xdr:from>
        <xdr:to>
          <xdr:col>1</xdr:col>
          <xdr:colOff>4476750</xdr:colOff>
          <xdr:row>35</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C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35</xdr:row>
          <xdr:rowOff>9525</xdr:rowOff>
        </xdr:from>
        <xdr:to>
          <xdr:col>1</xdr:col>
          <xdr:colOff>4476750</xdr:colOff>
          <xdr:row>36</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C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36</xdr:row>
          <xdr:rowOff>9525</xdr:rowOff>
        </xdr:from>
        <xdr:to>
          <xdr:col>1</xdr:col>
          <xdr:colOff>4476750</xdr:colOff>
          <xdr:row>37</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C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4267200</xdr:colOff>
          <xdr:row>37</xdr:row>
          <xdr:rowOff>9525</xdr:rowOff>
        </xdr:from>
        <xdr:to>
          <xdr:col>1</xdr:col>
          <xdr:colOff>4476750</xdr:colOff>
          <xdr:row>38</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C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258000</xdr:colOff>
      <xdr:row>39</xdr:row>
      <xdr:rowOff>83609</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0" y="0"/>
          <a:ext cx="8640000" cy="801793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0</xdr:colOff>
      <xdr:row>39</xdr:row>
      <xdr:rowOff>104342</xdr:rowOff>
    </xdr:from>
    <xdr:to>
      <xdr:col>10</xdr:col>
      <xdr:colOff>258000</xdr:colOff>
      <xdr:row>62</xdr:row>
      <xdr:rowOff>171450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0" y="8038667"/>
          <a:ext cx="8640000" cy="4667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3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300"/>
            </a:spcBef>
          </a:pPr>
          <a:r>
            <a:rPr lang="cs-CZ" sz="1000" i="1"/>
            <a:t>(26)  Je-li to vhodné, zahrnuje „základní kapitál“ emisní ážio.</a:t>
          </a:r>
        </a:p>
        <a:p>
          <a:pPr>
            <a:spcBef>
              <a:spcPts val="300"/>
            </a:spcBef>
          </a:pPr>
          <a:r>
            <a:rPr lang="cs-CZ" sz="1000" i="1"/>
            <a:t>(27)  To se týká zejména forem společností uvedených v příloze II směrnice 2013/34/EU.</a:t>
          </a:r>
        </a:p>
      </xdr:txBody>
    </xdr:sp>
    <xdr:clientData/>
  </xdr:twoCellAnchor>
  <xdr:twoCellAnchor>
    <xdr:from>
      <xdr:col>0</xdr:col>
      <xdr:colOff>0</xdr:colOff>
      <xdr:row>63</xdr:row>
      <xdr:rowOff>33063</xdr:rowOff>
    </xdr:from>
    <xdr:to>
      <xdr:col>10</xdr:col>
      <xdr:colOff>258000</xdr:colOff>
      <xdr:row>90</xdr:row>
      <xdr:rowOff>9525</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0" y="12767988"/>
          <a:ext cx="8640000" cy="537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10" Type="http://schemas.openxmlformats.org/officeDocument/2006/relationships/drawing" Target="../drawings/drawing1.xm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P61"/>
  <sheetViews>
    <sheetView showGridLines="0" tabSelected="1" zoomScale="90" zoomScaleNormal="90" workbookViewId="0">
      <selection activeCell="D10" sqref="D10"/>
    </sheetView>
  </sheetViews>
  <sheetFormatPr defaultColWidth="11" defaultRowHeight="14.25" x14ac:dyDescent="0.25"/>
  <cols>
    <col min="1" max="1" width="6.25" style="5" customWidth="1"/>
    <col min="2" max="2" width="43.25" style="5" customWidth="1"/>
    <col min="3" max="3" width="10.5" style="5" customWidth="1"/>
    <col min="4" max="4" width="29.25" style="13" customWidth="1"/>
    <col min="5" max="5" width="29.125" style="13" customWidth="1"/>
    <col min="6" max="6" width="25.75" style="13" customWidth="1"/>
    <col min="7" max="7" width="23.75" style="13" customWidth="1"/>
    <col min="8" max="8" width="21.875" style="13" customWidth="1"/>
    <col min="9" max="9" width="21.875" style="13" bestFit="1" customWidth="1"/>
    <col min="10" max="10" width="20.25" style="13" bestFit="1" customWidth="1"/>
    <col min="11" max="11" width="12.75" style="13" customWidth="1"/>
    <col min="12" max="12" width="38.75" style="13" customWidth="1"/>
    <col min="13" max="13" width="11" style="5" customWidth="1"/>
    <col min="14" max="14" width="24.25" style="5" customWidth="1"/>
    <col min="15" max="15" width="11" style="5" customWidth="1"/>
    <col min="16" max="16" width="24.375" style="5" customWidth="1"/>
    <col min="17" max="16384" width="11" style="5"/>
  </cols>
  <sheetData>
    <row r="1" spans="2:2" ht="20.25" customHeight="1" x14ac:dyDescent="0.25"/>
    <row r="2" spans="2:2" ht="23.25" x14ac:dyDescent="0.35">
      <c r="B2" s="323" t="s">
        <v>331</v>
      </c>
    </row>
    <row r="3" spans="2:2" ht="15" x14ac:dyDescent="0.2">
      <c r="B3" s="155" t="s">
        <v>249</v>
      </c>
    </row>
    <row r="6" spans="2:2" ht="15.75" x14ac:dyDescent="0.25">
      <c r="B6" s="324" t="s">
        <v>332</v>
      </c>
    </row>
    <row r="7" spans="2:2" ht="15" x14ac:dyDescent="0.25">
      <c r="B7" s="325" t="s">
        <v>384</v>
      </c>
    </row>
    <row r="9" spans="2:2" ht="39" customHeight="1" x14ac:dyDescent="0.25">
      <c r="B9" s="135" t="s">
        <v>327</v>
      </c>
    </row>
    <row r="10" spans="2:2" ht="15" x14ac:dyDescent="0.25">
      <c r="B10" s="175"/>
    </row>
    <row r="11" spans="2:2" ht="39" customHeight="1" x14ac:dyDescent="0.25">
      <c r="B11" s="136" t="s">
        <v>328</v>
      </c>
    </row>
    <row r="12" spans="2:2" ht="15" x14ac:dyDescent="0.25">
      <c r="B12" s="175"/>
    </row>
    <row r="13" spans="2:2" ht="39" customHeight="1" x14ac:dyDescent="0.25">
      <c r="B13" s="136" t="s">
        <v>329</v>
      </c>
    </row>
    <row r="14" spans="2:2" ht="15" x14ac:dyDescent="0.25">
      <c r="B14" s="175"/>
    </row>
    <row r="15" spans="2:2" ht="39" customHeight="1" x14ac:dyDescent="0.25">
      <c r="B15" s="136" t="s">
        <v>330</v>
      </c>
    </row>
    <row r="30" spans="2:3" ht="23.25" x14ac:dyDescent="0.25">
      <c r="B30" s="143" t="s">
        <v>360</v>
      </c>
    </row>
    <row r="31" spans="2:3" ht="18" customHeight="1" x14ac:dyDescent="0.2">
      <c r="B31" s="385" t="s">
        <v>250</v>
      </c>
      <c r="C31" s="385"/>
    </row>
    <row r="32" spans="2:3" ht="12" customHeight="1" thickBot="1" x14ac:dyDescent="0.3">
      <c r="B32" s="326"/>
      <c r="C32" s="326"/>
    </row>
    <row r="33" spans="2:16" ht="50.65" customHeight="1" x14ac:dyDescent="0.25">
      <c r="B33" s="389" t="s">
        <v>31</v>
      </c>
      <c r="C33" s="396" t="s">
        <v>327</v>
      </c>
      <c r="D33" s="397"/>
      <c r="E33" s="397"/>
      <c r="F33" s="397"/>
      <c r="G33" s="397"/>
      <c r="H33" s="397"/>
      <c r="I33" s="397"/>
      <c r="J33" s="398"/>
      <c r="K33" s="393" t="s">
        <v>333</v>
      </c>
      <c r="L33" s="371"/>
      <c r="M33" s="383" t="s">
        <v>329</v>
      </c>
      <c r="N33" s="384"/>
      <c r="O33" s="370" t="s">
        <v>341</v>
      </c>
      <c r="P33" s="371"/>
    </row>
    <row r="34" spans="2:16" ht="35.1" customHeight="1" x14ac:dyDescent="0.25">
      <c r="B34" s="390"/>
      <c r="C34" s="399" t="s">
        <v>48</v>
      </c>
      <c r="D34" s="388" t="s">
        <v>32</v>
      </c>
      <c r="E34" s="388"/>
      <c r="F34" s="327" t="s">
        <v>33</v>
      </c>
      <c r="G34" s="327" t="s">
        <v>35</v>
      </c>
      <c r="H34" s="327" t="s">
        <v>200</v>
      </c>
      <c r="I34" s="327" t="s">
        <v>201</v>
      </c>
      <c r="J34" s="328" t="s">
        <v>202</v>
      </c>
      <c r="K34" s="378" t="s">
        <v>48</v>
      </c>
      <c r="L34" s="329" t="s">
        <v>85</v>
      </c>
      <c r="M34" s="381" t="s">
        <v>338</v>
      </c>
      <c r="N34" s="330"/>
      <c r="O34" s="381" t="s">
        <v>338</v>
      </c>
      <c r="P34" s="331"/>
    </row>
    <row r="35" spans="2:16" ht="87.6" customHeight="1" x14ac:dyDescent="0.25">
      <c r="B35" s="390"/>
      <c r="C35" s="400"/>
      <c r="D35" s="327" t="s">
        <v>346</v>
      </c>
      <c r="E35" s="327" t="s">
        <v>347</v>
      </c>
      <c r="F35" s="327" t="s">
        <v>34</v>
      </c>
      <c r="G35" s="327" t="s">
        <v>36</v>
      </c>
      <c r="H35" s="327" t="s">
        <v>203</v>
      </c>
      <c r="I35" s="327" t="s">
        <v>204</v>
      </c>
      <c r="J35" s="328" t="s">
        <v>205</v>
      </c>
      <c r="K35" s="379"/>
      <c r="L35" s="329" t="s">
        <v>349</v>
      </c>
      <c r="M35" s="381"/>
      <c r="N35" s="332" t="s">
        <v>350</v>
      </c>
      <c r="O35" s="381"/>
      <c r="P35" s="332" t="s">
        <v>350</v>
      </c>
    </row>
    <row r="36" spans="2:16" ht="168.75" customHeight="1" thickBot="1" x14ac:dyDescent="0.3">
      <c r="B36" s="391"/>
      <c r="C36" s="401"/>
      <c r="D36" s="333" t="s">
        <v>364</v>
      </c>
      <c r="E36" s="334" t="s">
        <v>365</v>
      </c>
      <c r="F36" s="335" t="s">
        <v>367</v>
      </c>
      <c r="G36" s="336" t="s">
        <v>353</v>
      </c>
      <c r="H36" s="335" t="s">
        <v>334</v>
      </c>
      <c r="I36" s="337" t="s">
        <v>337</v>
      </c>
      <c r="J36" s="338" t="s">
        <v>352</v>
      </c>
      <c r="K36" s="380"/>
      <c r="L36" s="339" t="s">
        <v>354</v>
      </c>
      <c r="M36" s="382"/>
      <c r="N36" s="340" t="s">
        <v>339</v>
      </c>
      <c r="O36" s="382"/>
      <c r="P36" s="341" t="s">
        <v>340</v>
      </c>
    </row>
    <row r="37" spans="2:16" ht="22.5" customHeight="1" x14ac:dyDescent="0.25">
      <c r="B37" s="342" t="s">
        <v>257</v>
      </c>
      <c r="C37" s="343"/>
      <c r="D37" s="77" t="s">
        <v>56</v>
      </c>
      <c r="E37" s="77" t="s">
        <v>56</v>
      </c>
      <c r="F37" s="78" t="s">
        <v>56</v>
      </c>
      <c r="G37" s="79" t="s">
        <v>56</v>
      </c>
      <c r="H37" s="80" t="s">
        <v>56</v>
      </c>
      <c r="I37" s="80" t="s">
        <v>56</v>
      </c>
      <c r="J37" s="81" t="s">
        <v>56</v>
      </c>
      <c r="K37" s="82" t="s">
        <v>229</v>
      </c>
      <c r="L37" s="83" t="s">
        <v>56</v>
      </c>
      <c r="M37" s="372" t="s">
        <v>351</v>
      </c>
      <c r="N37" s="373"/>
      <c r="O37" s="372" t="s">
        <v>348</v>
      </c>
      <c r="P37" s="373"/>
    </row>
    <row r="38" spans="2:16" ht="27" customHeight="1" x14ac:dyDescent="0.25">
      <c r="B38" s="344" t="s">
        <v>4</v>
      </c>
      <c r="C38" s="345" t="s">
        <v>49</v>
      </c>
      <c r="D38" s="346" t="s">
        <v>5</v>
      </c>
      <c r="E38" s="346" t="s">
        <v>5</v>
      </c>
      <c r="F38" s="347" t="s">
        <v>230</v>
      </c>
      <c r="G38" s="348" t="s">
        <v>231</v>
      </c>
      <c r="H38" s="346" t="s">
        <v>208</v>
      </c>
      <c r="I38" s="346" t="s">
        <v>209</v>
      </c>
      <c r="J38" s="349" t="s">
        <v>209</v>
      </c>
      <c r="K38" s="350" t="s">
        <v>91</v>
      </c>
      <c r="L38" s="351" t="s">
        <v>93</v>
      </c>
      <c r="M38" s="374"/>
      <c r="N38" s="375"/>
      <c r="O38" s="374"/>
      <c r="P38" s="375"/>
    </row>
    <row r="39" spans="2:16" ht="24" customHeight="1" x14ac:dyDescent="0.25">
      <c r="B39" s="344" t="s">
        <v>6</v>
      </c>
      <c r="C39" s="345" t="s">
        <v>49</v>
      </c>
      <c r="D39" s="346" t="s">
        <v>7</v>
      </c>
      <c r="E39" s="346" t="s">
        <v>7</v>
      </c>
      <c r="F39" s="346" t="s">
        <v>38</v>
      </c>
      <c r="G39" s="352" t="s">
        <v>38</v>
      </c>
      <c r="H39" s="346" t="s">
        <v>207</v>
      </c>
      <c r="I39" s="346" t="s">
        <v>206</v>
      </c>
      <c r="J39" s="349" t="s">
        <v>206</v>
      </c>
      <c r="K39" s="350" t="s">
        <v>38</v>
      </c>
      <c r="L39" s="351" t="s">
        <v>38</v>
      </c>
      <c r="M39" s="374"/>
      <c r="N39" s="375"/>
      <c r="O39" s="374"/>
      <c r="P39" s="375"/>
    </row>
    <row r="40" spans="2:16" ht="24.75" customHeight="1" x14ac:dyDescent="0.25">
      <c r="B40" s="344" t="s">
        <v>77</v>
      </c>
      <c r="C40" s="345" t="s">
        <v>49</v>
      </c>
      <c r="D40" s="346" t="s">
        <v>78</v>
      </c>
      <c r="E40" s="353" t="s">
        <v>38</v>
      </c>
      <c r="F40" s="353" t="s">
        <v>38</v>
      </c>
      <c r="G40" s="354" t="s">
        <v>38</v>
      </c>
      <c r="H40" s="346" t="s">
        <v>221</v>
      </c>
      <c r="I40" s="353" t="s">
        <v>224</v>
      </c>
      <c r="J40" s="355" t="s">
        <v>229</v>
      </c>
      <c r="K40" s="350" t="s">
        <v>38</v>
      </c>
      <c r="L40" s="356" t="s">
        <v>38</v>
      </c>
      <c r="M40" s="374"/>
      <c r="N40" s="375"/>
      <c r="O40" s="374"/>
      <c r="P40" s="375"/>
    </row>
    <row r="41" spans="2:16" ht="33.6" customHeight="1" x14ac:dyDescent="0.25">
      <c r="B41" s="344" t="s">
        <v>40</v>
      </c>
      <c r="C41" s="345" t="s">
        <v>49</v>
      </c>
      <c r="D41" s="346" t="s">
        <v>11</v>
      </c>
      <c r="E41" s="346" t="s">
        <v>11</v>
      </c>
      <c r="F41" s="347" t="s">
        <v>232</v>
      </c>
      <c r="G41" s="348" t="s">
        <v>233</v>
      </c>
      <c r="H41" s="346" t="s">
        <v>212</v>
      </c>
      <c r="I41" s="346" t="s">
        <v>213</v>
      </c>
      <c r="J41" s="349" t="s">
        <v>213</v>
      </c>
      <c r="K41" s="350" t="s">
        <v>92</v>
      </c>
      <c r="L41" s="351" t="s">
        <v>96</v>
      </c>
      <c r="M41" s="374"/>
      <c r="N41" s="375"/>
      <c r="O41" s="374"/>
      <c r="P41" s="375"/>
    </row>
    <row r="42" spans="2:16" ht="25.5" customHeight="1" x14ac:dyDescent="0.25">
      <c r="B42" s="344" t="s">
        <v>39</v>
      </c>
      <c r="C42" s="345" t="s">
        <v>49</v>
      </c>
      <c r="D42" s="346" t="s">
        <v>13</v>
      </c>
      <c r="E42" s="346" t="s">
        <v>13</v>
      </c>
      <c r="F42" s="347" t="s">
        <v>234</v>
      </c>
      <c r="G42" s="348" t="s">
        <v>235</v>
      </c>
      <c r="H42" s="346" t="s">
        <v>214</v>
      </c>
      <c r="I42" s="346" t="s">
        <v>215</v>
      </c>
      <c r="J42" s="349" t="s">
        <v>215</v>
      </c>
      <c r="K42" s="350" t="s">
        <v>92</v>
      </c>
      <c r="L42" s="351" t="s">
        <v>96</v>
      </c>
      <c r="M42" s="374"/>
      <c r="N42" s="375"/>
      <c r="O42" s="374"/>
      <c r="P42" s="375"/>
    </row>
    <row r="43" spans="2:16" ht="78.599999999999994" customHeight="1" x14ac:dyDescent="0.25">
      <c r="B43" s="344" t="s">
        <v>42</v>
      </c>
      <c r="C43" s="345"/>
      <c r="D43" s="346" t="s">
        <v>51</v>
      </c>
      <c r="E43" s="346" t="s">
        <v>242</v>
      </c>
      <c r="F43" s="347" t="s">
        <v>244</v>
      </c>
      <c r="G43" s="348" t="s">
        <v>243</v>
      </c>
      <c r="H43" s="346" t="s">
        <v>210</v>
      </c>
      <c r="I43" s="346" t="s">
        <v>211</v>
      </c>
      <c r="J43" s="349" t="s">
        <v>211</v>
      </c>
      <c r="K43" s="350" t="s">
        <v>95</v>
      </c>
      <c r="L43" s="351" t="s">
        <v>94</v>
      </c>
      <c r="M43" s="374"/>
      <c r="N43" s="375"/>
      <c r="O43" s="374"/>
      <c r="P43" s="375"/>
    </row>
    <row r="44" spans="2:16" ht="44.1" customHeight="1" x14ac:dyDescent="0.25">
      <c r="B44" s="357" t="s">
        <v>101</v>
      </c>
      <c r="C44" s="345" t="s">
        <v>49</v>
      </c>
      <c r="D44" s="346" t="s">
        <v>21</v>
      </c>
      <c r="E44" s="346" t="s">
        <v>21</v>
      </c>
      <c r="F44" s="346" t="s">
        <v>66</v>
      </c>
      <c r="G44" s="352" t="s">
        <v>57</v>
      </c>
      <c r="H44" s="346" t="s">
        <v>226</v>
      </c>
      <c r="I44" s="346" t="s">
        <v>216</v>
      </c>
      <c r="J44" s="349" t="s">
        <v>217</v>
      </c>
      <c r="K44" s="350" t="s">
        <v>91</v>
      </c>
      <c r="L44" s="351" t="s">
        <v>97</v>
      </c>
      <c r="M44" s="374"/>
      <c r="N44" s="375"/>
      <c r="O44" s="374"/>
      <c r="P44" s="375"/>
    </row>
    <row r="45" spans="2:16" ht="24" customHeight="1" x14ac:dyDescent="0.25">
      <c r="B45" s="344" t="s">
        <v>43</v>
      </c>
      <c r="C45" s="345" t="s">
        <v>50</v>
      </c>
      <c r="D45" s="346" t="s">
        <v>24</v>
      </c>
      <c r="E45" s="346" t="s">
        <v>24</v>
      </c>
      <c r="F45" s="346" t="s">
        <v>67</v>
      </c>
      <c r="G45" s="352" t="s">
        <v>58</v>
      </c>
      <c r="H45" s="346" t="s">
        <v>218</v>
      </c>
      <c r="I45" s="346" t="s">
        <v>218</v>
      </c>
      <c r="J45" s="349" t="s">
        <v>228</v>
      </c>
      <c r="K45" s="350" t="s">
        <v>38</v>
      </c>
      <c r="L45" s="351" t="s">
        <v>38</v>
      </c>
      <c r="M45" s="374"/>
      <c r="N45" s="375"/>
      <c r="O45" s="374"/>
      <c r="P45" s="375"/>
    </row>
    <row r="46" spans="2:16" ht="30" customHeight="1" x14ac:dyDescent="0.25">
      <c r="B46" s="344" t="s">
        <v>356</v>
      </c>
      <c r="C46" s="345" t="s">
        <v>50</v>
      </c>
      <c r="D46" s="346" t="s">
        <v>26</v>
      </c>
      <c r="E46" s="346" t="s">
        <v>26</v>
      </c>
      <c r="F46" s="346" t="s">
        <v>68</v>
      </c>
      <c r="G46" s="352" t="s">
        <v>59</v>
      </c>
      <c r="H46" s="346" t="s">
        <v>223</v>
      </c>
      <c r="I46" s="346" t="s">
        <v>219</v>
      </c>
      <c r="J46" s="349" t="s">
        <v>220</v>
      </c>
      <c r="K46" s="386" t="s">
        <v>355</v>
      </c>
      <c r="L46" s="387"/>
      <c r="M46" s="374"/>
      <c r="N46" s="375"/>
      <c r="O46" s="374"/>
      <c r="P46" s="375"/>
    </row>
    <row r="47" spans="2:16" ht="28.5" x14ac:dyDescent="0.25">
      <c r="B47" s="344" t="s">
        <v>44</v>
      </c>
      <c r="C47" s="345" t="s">
        <v>50</v>
      </c>
      <c r="D47" s="358" t="s">
        <v>28</v>
      </c>
      <c r="E47" s="358" t="s">
        <v>28</v>
      </c>
      <c r="F47" s="346" t="s">
        <v>37</v>
      </c>
      <c r="G47" s="352" t="s">
        <v>60</v>
      </c>
      <c r="H47" s="346" t="s">
        <v>222</v>
      </c>
      <c r="I47" s="346" t="s">
        <v>225</v>
      </c>
      <c r="J47" s="349" t="s">
        <v>227</v>
      </c>
      <c r="K47" s="350" t="s">
        <v>92</v>
      </c>
      <c r="L47" s="351" t="s">
        <v>96</v>
      </c>
      <c r="M47" s="374"/>
      <c r="N47" s="375"/>
      <c r="O47" s="374"/>
      <c r="P47" s="375"/>
    </row>
    <row r="48" spans="2:16" ht="27" customHeight="1" x14ac:dyDescent="0.25">
      <c r="B48" s="344" t="s">
        <v>45</v>
      </c>
      <c r="C48" s="345"/>
      <c r="D48" s="346" t="s">
        <v>76</v>
      </c>
      <c r="E48" s="346" t="s">
        <v>76</v>
      </c>
      <c r="F48" s="346" t="s">
        <v>76</v>
      </c>
      <c r="G48" s="359" t="s">
        <v>76</v>
      </c>
      <c r="H48" s="358" t="s">
        <v>76</v>
      </c>
      <c r="I48" s="360"/>
      <c r="J48" s="361"/>
      <c r="K48" s="350"/>
      <c r="L48" s="351" t="s">
        <v>76</v>
      </c>
      <c r="M48" s="374"/>
      <c r="N48" s="375"/>
      <c r="O48" s="374"/>
      <c r="P48" s="375"/>
    </row>
    <row r="49" spans="2:16" ht="81" customHeight="1" thickBot="1" x14ac:dyDescent="0.3">
      <c r="B49" s="362" t="s">
        <v>47</v>
      </c>
      <c r="C49" s="363"/>
      <c r="D49" s="364" t="s">
        <v>52</v>
      </c>
      <c r="E49" s="364" t="s">
        <v>55</v>
      </c>
      <c r="F49" s="364" t="s">
        <v>53</v>
      </c>
      <c r="G49" s="365" t="s">
        <v>54</v>
      </c>
      <c r="H49" s="364"/>
      <c r="I49" s="364"/>
      <c r="J49" s="311"/>
      <c r="K49" s="366"/>
      <c r="L49" s="367"/>
      <c r="M49" s="376"/>
      <c r="N49" s="377"/>
      <c r="O49" s="376"/>
      <c r="P49" s="377"/>
    </row>
    <row r="50" spans="2:16" ht="15" thickBot="1" x14ac:dyDescent="0.3">
      <c r="B50" s="17"/>
      <c r="C50" s="17"/>
      <c r="D50" s="17"/>
      <c r="E50" s="17"/>
      <c r="F50" s="17"/>
      <c r="G50" s="17"/>
      <c r="H50" s="17"/>
      <c r="I50" s="17"/>
      <c r="J50" s="17"/>
      <c r="K50" s="8"/>
      <c r="L50" s="8"/>
    </row>
    <row r="51" spans="2:16" ht="246.75" customHeight="1" thickBot="1" x14ac:dyDescent="0.3">
      <c r="B51" s="17"/>
      <c r="C51" s="17"/>
      <c r="D51" s="17"/>
      <c r="E51" s="17"/>
      <c r="F51" s="394" t="s">
        <v>241</v>
      </c>
      <c r="G51" s="395"/>
      <c r="H51" s="17"/>
      <c r="I51" s="17"/>
      <c r="J51" s="17"/>
      <c r="K51" s="8"/>
      <c r="L51" s="8"/>
    </row>
    <row r="52" spans="2:16" ht="14.65" customHeight="1" x14ac:dyDescent="0.25">
      <c r="K52" s="12"/>
    </row>
    <row r="53" spans="2:16" ht="14.25" customHeight="1" x14ac:dyDescent="0.25">
      <c r="K53" s="12"/>
      <c r="L53" s="12"/>
    </row>
    <row r="54" spans="2:16" x14ac:dyDescent="0.25">
      <c r="K54" s="12"/>
      <c r="L54" s="12"/>
    </row>
    <row r="55" spans="2:16" x14ac:dyDescent="0.25">
      <c r="K55" s="12"/>
      <c r="L55" s="12"/>
    </row>
    <row r="56" spans="2:16" x14ac:dyDescent="0.25">
      <c r="L56" s="392"/>
    </row>
    <row r="57" spans="2:16" x14ac:dyDescent="0.25">
      <c r="L57" s="392"/>
    </row>
    <row r="58" spans="2:16" x14ac:dyDescent="0.25">
      <c r="L58" s="392"/>
    </row>
    <row r="59" spans="2:16" x14ac:dyDescent="0.25">
      <c r="L59" s="392"/>
    </row>
    <row r="60" spans="2:16" x14ac:dyDescent="0.25">
      <c r="L60" s="392"/>
    </row>
    <row r="61" spans="2:16" x14ac:dyDescent="0.25">
      <c r="L61" s="392"/>
    </row>
  </sheetData>
  <sheetProtection algorithmName="SHA-512" hashValue="M7HcG0zY9emEnGdrGK3363xkh/KKUg9gf4fx+YOstoXJMe73BxepXn3dQVEiXuE3kfvc7pcSlraozkhATBbSDg==" saltValue="j4GaoNEG8udUi2Lux9N7Pw==" spinCount="100000" sheet="1" objects="1" scenarios="1"/>
  <mergeCells count="17">
    <mergeCell ref="B31:C31"/>
    <mergeCell ref="K46:L46"/>
    <mergeCell ref="D34:E34"/>
    <mergeCell ref="B33:B36"/>
    <mergeCell ref="L60:L61"/>
    <mergeCell ref="L56:L59"/>
    <mergeCell ref="K33:L33"/>
    <mergeCell ref="F51:G51"/>
    <mergeCell ref="C33:J33"/>
    <mergeCell ref="C34:C36"/>
    <mergeCell ref="O33:P33"/>
    <mergeCell ref="M37:N49"/>
    <mergeCell ref="K34:K36"/>
    <mergeCell ref="M34:M36"/>
    <mergeCell ref="O34:O36"/>
    <mergeCell ref="O37:P49"/>
    <mergeCell ref="M33:N33"/>
  </mergeCells>
  <hyperlinks>
    <hyperlink ref="D37" r:id="rId1" xr:uid="{00000000-0004-0000-0000-000000000000}"/>
    <hyperlink ref="E37" r:id="rId2" xr:uid="{00000000-0004-0000-0000-000001000000}"/>
    <hyperlink ref="F37" r:id="rId3" xr:uid="{00000000-0004-0000-0000-000002000000}"/>
    <hyperlink ref="G37" r:id="rId4" xr:uid="{00000000-0004-0000-0000-000003000000}"/>
    <hyperlink ref="L37" r:id="rId5" xr:uid="{00000000-0004-0000-0000-000004000000}"/>
    <hyperlink ref="H37" r:id="rId6" xr:uid="{00000000-0004-0000-0000-000005000000}"/>
    <hyperlink ref="I37" r:id="rId7" xr:uid="{00000000-0004-0000-0000-000006000000}"/>
    <hyperlink ref="J37" r:id="rId8" xr:uid="{00000000-0004-0000-0000-000007000000}"/>
    <hyperlink ref="B9" location="'2. Účetnictví'!A1" display="(PODVOJNÉ) ÚČETNICTVÍ" xr:uid="{00000000-0004-0000-0000-000008000000}"/>
    <hyperlink ref="B11" location="'2. Jednoduché účetnictví '!A1" display="JEDNODUCHÉ ÚČETNICTVÍ" xr:uid="{00000000-0004-0000-0000-000009000000}"/>
    <hyperlink ref="B13" location="'2. Daňová evidence'!A1" display="DAŇOVÁ EVIDENCE" xr:uid="{00000000-0004-0000-0000-00000A000000}"/>
    <hyperlink ref="B15" location="'2. Paušální (výdaje, daň)'!A1" display="PAUŠÁLNÍ (VÝDAJE, NEBO DAŇ)" xr:uid="{00000000-0004-0000-0000-00000B000000}"/>
  </hyperlinks>
  <pageMargins left="0.7" right="0.7" top="0.78740157499999996" bottom="0.78740157499999996" header="0.3" footer="0.3"/>
  <pageSetup paperSize="8" scale="66"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K80"/>
  <sheetViews>
    <sheetView showGridLines="0" zoomScale="90" zoomScaleNormal="90" zoomScaleSheetLayoutView="100" workbookViewId="0">
      <selection activeCell="E4" sqref="E4:G4"/>
    </sheetView>
  </sheetViews>
  <sheetFormatPr defaultRowHeight="15.75" x14ac:dyDescent="0.25"/>
  <cols>
    <col min="1" max="1" width="5" customWidth="1"/>
    <col min="2" max="2" width="32.625" customWidth="1"/>
    <col min="3" max="3" width="36.75" customWidth="1"/>
    <col min="4" max="4" width="11.625" customWidth="1"/>
    <col min="5" max="5" width="12.75" customWidth="1"/>
    <col min="6" max="6" width="18.375" customWidth="1"/>
    <col min="7" max="7" width="17.25" customWidth="1"/>
    <col min="8" max="8" width="5" customWidth="1"/>
    <col min="9" max="9" width="18.75" hidden="1" customWidth="1"/>
    <col min="10" max="10" width="14.75" hidden="1" customWidth="1"/>
    <col min="11" max="11" width="0" hidden="1" customWidth="1"/>
    <col min="12" max="12" width="10.5"/>
    <col min="14" max="14" width="19.375" customWidth="1"/>
    <col min="15" max="15" width="12.5" customWidth="1"/>
  </cols>
  <sheetData>
    <row r="1" spans="1:11" ht="20.25" customHeight="1" x14ac:dyDescent="0.25"/>
    <row r="2" spans="1:11" s="305" customFormat="1" ht="24.75" customHeight="1" x14ac:dyDescent="0.25">
      <c r="B2" s="84" t="s">
        <v>412</v>
      </c>
      <c r="D2" s="306"/>
      <c r="E2" s="307"/>
      <c r="F2" s="307"/>
      <c r="G2" s="308"/>
      <c r="H2" s="309"/>
    </row>
    <row r="3" spans="1:11" ht="32.25" customHeight="1" thickBot="1" x14ac:dyDescent="0.3">
      <c r="B3" s="85" t="s">
        <v>490</v>
      </c>
      <c r="D3" s="13"/>
      <c r="E3" s="5"/>
      <c r="F3" s="5"/>
      <c r="G3" s="13"/>
      <c r="H3" s="12"/>
    </row>
    <row r="4" spans="1:11" ht="24.95" customHeight="1" x14ac:dyDescent="0.25">
      <c r="A4" s="32" t="s">
        <v>74</v>
      </c>
      <c r="B4" s="421" t="s">
        <v>80</v>
      </c>
      <c r="C4" s="422"/>
      <c r="D4" s="423"/>
      <c r="E4" s="410"/>
      <c r="F4" s="411"/>
      <c r="G4" s="412"/>
      <c r="H4" s="310"/>
    </row>
    <row r="5" spans="1:11" ht="24.95" hidden="1" customHeight="1" x14ac:dyDescent="0.25">
      <c r="B5" s="137"/>
      <c r="C5" s="413" t="s">
        <v>0</v>
      </c>
      <c r="D5" s="414"/>
      <c r="E5" s="415" t="s">
        <v>326</v>
      </c>
      <c r="F5" s="416"/>
      <c r="G5" s="417"/>
      <c r="H5" s="15"/>
    </row>
    <row r="6" spans="1:11" ht="24.95" customHeight="1" x14ac:dyDescent="0.25">
      <c r="B6" s="424" t="s">
        <v>1</v>
      </c>
      <c r="C6" s="413"/>
      <c r="D6" s="414"/>
      <c r="E6" s="418"/>
      <c r="F6" s="419"/>
      <c r="G6" s="420"/>
    </row>
    <row r="7" spans="1:11" ht="24.75" customHeight="1" x14ac:dyDescent="0.25">
      <c r="B7" s="424" t="s">
        <v>385</v>
      </c>
      <c r="C7" s="413"/>
      <c r="D7" s="414"/>
      <c r="E7" s="425"/>
      <c r="F7" s="426"/>
      <c r="G7" s="427"/>
    </row>
    <row r="8" spans="1:11" ht="15" hidden="1" customHeight="1" x14ac:dyDescent="0.25">
      <c r="B8" s="137"/>
      <c r="C8" s="413" t="s">
        <v>246</v>
      </c>
      <c r="D8" s="414"/>
      <c r="E8" s="425">
        <v>42222</v>
      </c>
      <c r="F8" s="426"/>
      <c r="G8" s="427"/>
    </row>
    <row r="9" spans="1:11" ht="24" customHeight="1" x14ac:dyDescent="0.25">
      <c r="B9" s="424" t="str">
        <f>IF(E7="",Výpočty!B54,Výpočty!B57)</f>
        <v xml:space="preserve">Způsob podání daňového přiznání za účetní období: </v>
      </c>
      <c r="C9" s="413"/>
      <c r="D9" s="414"/>
      <c r="E9" s="425" t="s">
        <v>71</v>
      </c>
      <c r="F9" s="426"/>
      <c r="G9" s="427"/>
    </row>
    <row r="10" spans="1:11" ht="24" customHeight="1" thickBot="1" x14ac:dyDescent="0.3">
      <c r="B10" s="461" t="str">
        <f>IF(E7="",Výpočty!B55,Výpočty!B58)</f>
        <v xml:space="preserve">Žadatel podal (tj. uzavřel) daňové přiznání za účetní období: </v>
      </c>
      <c r="C10" s="462"/>
      <c r="D10" s="463"/>
      <c r="E10" s="432" t="s">
        <v>71</v>
      </c>
      <c r="F10" s="433"/>
      <c r="G10" s="434"/>
    </row>
    <row r="11" spans="1:11" ht="20.25" hidden="1" customHeight="1" x14ac:dyDescent="0.25">
      <c r="B11" s="21"/>
      <c r="C11" s="428" t="s">
        <v>392</v>
      </c>
      <c r="D11" s="429"/>
      <c r="E11" s="430" t="str">
        <f>Výpočty!D50</f>
        <v/>
      </c>
      <c r="F11" s="430"/>
      <c r="G11" s="431"/>
    </row>
    <row r="12" spans="1:11" ht="16.5" hidden="1" thickBot="1" x14ac:dyDescent="0.3">
      <c r="B12" s="21"/>
      <c r="C12" s="437" t="s">
        <v>393</v>
      </c>
      <c r="D12" s="438"/>
      <c r="E12" s="439" t="str">
        <f>IF(E11="","",I12)</f>
        <v/>
      </c>
      <c r="F12" s="439"/>
      <c r="G12" s="439"/>
      <c r="I12" s="435" t="str">
        <f>IF(E10="Ano",E11,IF(E10="Vyberte variantu",E11,E11-1))</f>
        <v/>
      </c>
      <c r="J12" s="435"/>
      <c r="K12" s="436"/>
    </row>
    <row r="13" spans="1:11" ht="6.75" customHeight="1" thickBot="1" x14ac:dyDescent="0.3">
      <c r="B13" s="21"/>
      <c r="C13" s="13"/>
      <c r="D13" s="17"/>
      <c r="E13" s="5"/>
      <c r="F13" s="5"/>
      <c r="G13" s="13"/>
    </row>
    <row r="14" spans="1:11" ht="26.25" customHeight="1" x14ac:dyDescent="0.25">
      <c r="B14" s="421" t="s">
        <v>376</v>
      </c>
      <c r="C14" s="422"/>
      <c r="D14" s="423"/>
      <c r="E14" s="410" t="s">
        <v>71</v>
      </c>
      <c r="F14" s="411"/>
      <c r="G14" s="412"/>
    </row>
    <row r="15" spans="1:11" ht="24.95" customHeight="1" x14ac:dyDescent="0.25">
      <c r="B15" s="424" t="s">
        <v>342</v>
      </c>
      <c r="C15" s="413"/>
      <c r="D15" s="414"/>
      <c r="E15" s="415" t="s">
        <v>71</v>
      </c>
      <c r="F15" s="416"/>
      <c r="G15" s="417"/>
      <c r="H15" s="43" t="str">
        <f>IF(E15="Vyberte variantu","Viz list PŘEHLED - je důležité vybrat správnou variantu.","")</f>
        <v>Viz list PŘEHLED - je důležité vybrat správnou variantu.</v>
      </c>
    </row>
    <row r="16" spans="1:11" ht="24.95" customHeight="1" x14ac:dyDescent="0.25">
      <c r="B16" s="424" t="s">
        <v>359</v>
      </c>
      <c r="C16" s="413"/>
      <c r="D16" s="414"/>
      <c r="E16" s="415" t="s">
        <v>71</v>
      </c>
      <c r="F16" s="416"/>
      <c r="G16" s="417"/>
    </row>
    <row r="17" spans="1:8" ht="24.95" customHeight="1" x14ac:dyDescent="0.25">
      <c r="B17" s="459" t="s">
        <v>256</v>
      </c>
      <c r="C17" s="460"/>
      <c r="D17" s="464"/>
      <c r="E17" s="415" t="s">
        <v>71</v>
      </c>
      <c r="F17" s="416"/>
      <c r="G17" s="417"/>
      <c r="H17" s="12"/>
    </row>
    <row r="18" spans="1:8" ht="84" customHeight="1" x14ac:dyDescent="0.25">
      <c r="B18" s="424" t="s">
        <v>476</v>
      </c>
      <c r="C18" s="413"/>
      <c r="D18" s="414"/>
      <c r="E18" s="415" t="s">
        <v>71</v>
      </c>
      <c r="F18" s="416"/>
      <c r="G18" s="417"/>
      <c r="H18" s="43"/>
    </row>
    <row r="19" spans="1:8" ht="101.25" customHeight="1" x14ac:dyDescent="0.25">
      <c r="B19" s="424" t="s">
        <v>383</v>
      </c>
      <c r="C19" s="413"/>
      <c r="D19" s="414"/>
      <c r="E19" s="415" t="s">
        <v>71</v>
      </c>
      <c r="F19" s="416"/>
      <c r="G19" s="417"/>
      <c r="H19" s="43"/>
    </row>
    <row r="20" spans="1:8" hidden="1" x14ac:dyDescent="0.25">
      <c r="B20" s="137"/>
      <c r="C20" s="413" t="s">
        <v>79</v>
      </c>
      <c r="D20" s="414"/>
      <c r="E20" s="415" t="s">
        <v>177</v>
      </c>
      <c r="F20" s="416"/>
      <c r="G20" s="417"/>
      <c r="H20" s="12"/>
    </row>
    <row r="21" spans="1:8" hidden="1" x14ac:dyDescent="0.25">
      <c r="B21" s="137"/>
      <c r="C21" s="413" t="s">
        <v>248</v>
      </c>
      <c r="D21" s="414"/>
      <c r="E21" s="415" t="s">
        <v>71</v>
      </c>
      <c r="F21" s="416"/>
      <c r="G21" s="417"/>
      <c r="H21" s="12"/>
    </row>
    <row r="22" spans="1:8" ht="24.75" customHeight="1" thickBot="1" x14ac:dyDescent="0.3">
      <c r="B22" s="461" t="s">
        <v>345</v>
      </c>
      <c r="C22" s="462"/>
      <c r="D22" s="463"/>
      <c r="E22" s="432" t="s">
        <v>71</v>
      </c>
      <c r="F22" s="433"/>
      <c r="G22" s="434"/>
      <c r="H22" s="43"/>
    </row>
    <row r="23" spans="1:8" ht="29.25" customHeight="1" thickBot="1" x14ac:dyDescent="0.3">
      <c r="B23" s="21"/>
      <c r="C23" s="13"/>
      <c r="D23" s="13"/>
      <c r="E23" s="5"/>
      <c r="F23" s="5"/>
      <c r="G23" s="13"/>
      <c r="H23" s="43"/>
    </row>
    <row r="24" spans="1:8" ht="36" customHeight="1" thickBot="1" x14ac:dyDescent="0.3">
      <c r="A24" s="32" t="s">
        <v>75</v>
      </c>
      <c r="B24" s="471" t="s">
        <v>90</v>
      </c>
      <c r="C24" s="472"/>
      <c r="D24" s="473"/>
      <c r="E24" s="440" t="str">
        <f>IF(E15=Výpočty!B23,'Veřejný subjekt (410) '!D18,IF(E15=Výpočty!B24,'Podnikatel (500)'!D18,IF(E15=Výpočty!B25,'Banky a fin. instituce (501)'!D18,IF(E15=Výpočty!B26,'Pojišťovny (502)'!D18,IF(E15=Výpočty!B27,'Zdrav pojišťovny (503)'!D18,IF(E15=Výpočty!B28,'Nepodnikatel (504)'!D18,"NEPRAVDA"))))))</f>
        <v>NEPRAVDA</v>
      </c>
      <c r="F24" s="441"/>
      <c r="G24" s="442" t="s">
        <v>418</v>
      </c>
      <c r="H24" s="443"/>
    </row>
    <row r="25" spans="1:8" ht="16.5" thickBot="1" x14ac:dyDescent="0.3">
      <c r="B25" s="21"/>
      <c r="C25" s="13"/>
      <c r="D25" s="13"/>
      <c r="E25" s="5"/>
      <c r="F25" s="5"/>
      <c r="G25" s="13"/>
      <c r="H25" s="12"/>
    </row>
    <row r="26" spans="1:8" ht="18" customHeight="1" x14ac:dyDescent="0.25">
      <c r="B26" s="421" t="str">
        <f>IF(E15=Výpočty!B23,'Veřejný subjekt (410) '!B20,IF(E15=Výpočty!B24,'Podnikatel (500)'!B20,IF(E15=Výpočty!B25,'Banky a fin. instituce (501)'!B20,IF(E15=Výpočty!B26,'Pojišťovny (502)'!B20,IF(E15=Výpočty!B27,'Zdrav pojišťovny (503)'!B20,IF(E15=Výpočty!B28,'Nepodnikatel (504)'!B20,"A - kritérium stavu vlastního kapitálu - společníci neručí za závazky."))))))</f>
        <v>A - kritérium stavu vlastního kapitálu - společníci neručí za závazky.</v>
      </c>
      <c r="C26" s="422"/>
      <c r="D26" s="445" t="s">
        <v>61</v>
      </c>
      <c r="E26" s="445" t="s">
        <v>64</v>
      </c>
      <c r="F26" s="28" t="str">
        <f>IF(OR(E24="kritéria A,C,D,E",E24="kritéria A,C,D"),"RELEVANTNÍ","NERELEVANTNÍ")</f>
        <v>NERELEVANTNÍ</v>
      </c>
      <c r="G26" s="43"/>
      <c r="H26" s="12"/>
    </row>
    <row r="27" spans="1:8" ht="18" customHeight="1" x14ac:dyDescent="0.25">
      <c r="B27" s="424"/>
      <c r="C27" s="413"/>
      <c r="D27" s="446"/>
      <c r="E27" s="446"/>
      <c r="F27" s="33" t="str">
        <f>"Rok N"&amp; "  " &amp; IF($E$12&gt;1,$E$12,"")</f>
        <v xml:space="preserve">Rok N  </v>
      </c>
      <c r="G27" s="47"/>
      <c r="H27" s="47"/>
    </row>
    <row r="28" spans="1:8" ht="27.75" customHeight="1" x14ac:dyDescent="0.25">
      <c r="B28" s="452" t="str">
        <f>IF(E15=Výpočty!B22,"-","Vlastní kapitál")</f>
        <v>-</v>
      </c>
      <c r="C28" s="453"/>
      <c r="D28" s="30" t="str">
        <f>IF(E15=Výpočty!B23,'Veřejný subjekt (410) '!C22,IF(E15=Výpočty!B24,'Podnikatel (500)'!C22,IF(E15=Výpočty!B25,'Banky a fin. instituce (501)'!C22,IF(E15=Výpočty!B26,'Pojišťovny (502)'!C22,IF(E15=Výpočty!B27,'Zdrav pojišťovny (503)'!C22,IF(E15=Výpočty!B28,'Nepodnikatel (504)'!C22,"-"))))))</f>
        <v>-</v>
      </c>
      <c r="E28" s="30" t="str">
        <f>IF(E15=Výpočty!B23,'Veřejný subjekt (410) '!D22,IF(E15=Výpočty!B24,'Podnikatel (500)'!D22,IF(E15=Výpočty!B25,'Banky a fin. instituce (501)'!D22,IF(E15=Výpočty!B26,'Pojišťovny (502)'!D22,IF(E15=Výpočty!B27,'Zdrav pojišťovny (503)'!D22,IF(E15=Výpočty!B28,'Nepodnikatel (504)'!D22,"-"))))))</f>
        <v>-</v>
      </c>
      <c r="F28" s="42"/>
      <c r="G28" s="47"/>
      <c r="H28" s="47"/>
    </row>
    <row r="29" spans="1:8" ht="24.95" customHeight="1" x14ac:dyDescent="0.25">
      <c r="B29" s="452" t="str">
        <f>IF(E15=Výpočty!B22,"-","Základní kapitál")</f>
        <v>-</v>
      </c>
      <c r="C29" s="453"/>
      <c r="D29" s="30" t="str">
        <f>IF(E15=Výpočty!B23,'Veřejný subjekt (410) '!C23,IF(E15=Výpočty!B24,'Podnikatel (500)'!C23,IF(E15=Výpočty!B25,'Banky a fin. instituce (501)'!C23,IF(E15=Výpočty!B26,'Pojišťovny (502)'!C23,IF(E15=Výpočty!B27,'Zdrav pojišťovny (503)'!C23,IF(E15=Výpočty!B28,'Nepodnikatel (504)'!C23,"-"))))))</f>
        <v>-</v>
      </c>
      <c r="E29" s="30" t="str">
        <f>IF(E15=Výpočty!B23,'Veřejný subjekt (410) '!D23,IF(E15=Výpočty!B24,'Podnikatel (500)'!D23,IF(E15=Výpočty!B25,'Banky a fin. instituce (501)'!D23,IF(E15=Výpočty!B26,'Pojišťovny (502)'!D23,IF(E15=Výpočty!B27,'Zdrav pojišťovny (503)'!D23,IF(E15=Výpočty!B28,'Nepodnikatel (504)'!D23,"-"))))))</f>
        <v>-</v>
      </c>
      <c r="F29" s="42"/>
      <c r="G29" s="444" t="str">
        <f>IF(E15=Výpočty!B23,'Veřejný subjekt (410) '!F23,IF(E15=Výpočty!B28,'Nepodnikatel (504)'!F23,""))</f>
        <v/>
      </c>
      <c r="H29" s="444"/>
    </row>
    <row r="30" spans="1:8" ht="24.95" customHeight="1" x14ac:dyDescent="0.25">
      <c r="B30" s="452" t="str">
        <f>IF(E15=Výpočty!B22,"-","Ážio")</f>
        <v>-</v>
      </c>
      <c r="C30" s="453"/>
      <c r="D30" s="30" t="str">
        <f>IF(E15=Výpočty!B23,'Veřejný subjekt (410) '!C24,IF(E15=Výpočty!B24,'Podnikatel (500)'!C24,IF(E15=Výpočty!B25,'Banky a fin. instituce (501)'!C24,IF(E15=Výpočty!B26,'Pojišťovny (502)'!C24,IF(E15=Výpočty!B27,'Zdrav pojišťovny (503)'!C24,IF(E15=Výpočty!B28,'Nepodnikatel (504)'!C24,"-"))))))</f>
        <v>-</v>
      </c>
      <c r="E30" s="30" t="str">
        <f>IF(E15=Výpočty!B23,'Veřejný subjekt (410) '!D24,IF(E15=Výpočty!B24,'Podnikatel (500)'!D24,IF(E15=Výpočty!B25,'Banky a fin. instituce (501)'!D24,IF(E15=Výpočty!B26,'Pojišťovny (502)'!D24,IF(E15=Výpočty!B27,'Zdrav pojišťovny (503)'!D24,IF(E15=Výpočty!B28,'Nepodnikatel (504)'!D24,"-"))))))</f>
        <v>-</v>
      </c>
      <c r="F30" s="42"/>
      <c r="G30" s="444"/>
      <c r="H30" s="444"/>
    </row>
    <row r="31" spans="1:8" ht="24.95" customHeight="1" thickBot="1" x14ac:dyDescent="0.3">
      <c r="B31" s="450" t="s">
        <v>14</v>
      </c>
      <c r="C31" s="451"/>
      <c r="D31" s="451"/>
      <c r="E31" s="451"/>
      <c r="F31" s="311" t="str">
        <f>IF(E15=Výpočty!B23,'Veřejný subjekt (410) '!E25,IF(E15=Výpočty!B24,'Podnikatel (500)'!E25,IF(E15=Výpočty!B25,'Banky a fin. instituce (501)'!E25,IF(E15=Výpočty!B26,'Pojišťovny (502)'!E25,IF(E15=Výpočty!B27,'Zdrav pojišťovny (503)'!E25,IF(E15=Výpočty!B28,'Nepodnikatel (504)'!E25,"Ne"))))))</f>
        <v>Ne</v>
      </c>
      <c r="G31" s="13"/>
      <c r="H31" s="12"/>
    </row>
    <row r="32" spans="1:8" ht="16.5" thickBot="1" x14ac:dyDescent="0.3">
      <c r="B32" s="21"/>
      <c r="C32" s="13"/>
      <c r="D32" s="13"/>
      <c r="E32" s="17"/>
      <c r="F32" s="17"/>
      <c r="G32" s="13"/>
      <c r="H32" s="12"/>
    </row>
    <row r="33" spans="2:8" ht="18" customHeight="1" x14ac:dyDescent="0.25">
      <c r="B33" s="421" t="str">
        <f>IF(E15=Výpočty!B23,'Veřejný subjekt (410) '!B27,IF(E15=Výpočty!B24,'Podnikatel (500)'!B27,IF(E15=Výpočty!B25,'Banky a fin. instituce (501)'!B27,IF(E15=Výpočty!B26,'Pojišťovny (502)'!B27,IF(E15=Výpočty!B27,'Zdrav pojišťovny (503)'!B27,IF(E15=Výpočty!B28,'Nepodnikatel (504)'!B27,"B - kritérium stavu vlastního kapitálu - společníci ručí za závazky."))))))</f>
        <v>B - kritérium stavu vlastního kapitálu - společníci ručí za závazky.</v>
      </c>
      <c r="C33" s="422"/>
      <c r="D33" s="445" t="s">
        <v>61</v>
      </c>
      <c r="E33" s="445" t="s">
        <v>64</v>
      </c>
      <c r="F33" s="28" t="str">
        <f>IF(OR(E24="kritéria B,C,D,E",E24="kritéria B,C,D"),"RELEVANTNÍ","NERELEVANTNÍ")</f>
        <v>NERELEVANTNÍ</v>
      </c>
      <c r="G33" s="13"/>
      <c r="H33" s="12"/>
    </row>
    <row r="34" spans="2:8" ht="18" customHeight="1" x14ac:dyDescent="0.25">
      <c r="B34" s="424"/>
      <c r="C34" s="413"/>
      <c r="D34" s="446"/>
      <c r="E34" s="446"/>
      <c r="F34" s="312" t="str">
        <f>"Rok N"&amp; "  " &amp; IF($E$12&gt;1,$E$12,"")</f>
        <v xml:space="preserve">Rok N  </v>
      </c>
      <c r="G34" s="13"/>
      <c r="H34" s="12"/>
    </row>
    <row r="35" spans="2:8" ht="27.75" customHeight="1" x14ac:dyDescent="0.25">
      <c r="B35" s="452" t="str">
        <f>IF(E15=Výpočty!B23,'Veřejný subjekt (410) '!B29,IF(E15=Výpočty!B24,'Podnikatel (500)'!B29,IF(E15=Výpočty!B25,'Banky a fin. instituce (501)'!B29,IF(E15=Výpočty!B26,'Pojišťovny (502)'!B29,IF(E15=Výpočty!B27,'Zdrav pojišťovny (503)'!B29,IF(E15=Výpočty!B28,'Nepodnikatel (504)'!B29,"-"))))))</f>
        <v>-</v>
      </c>
      <c r="C35" s="453"/>
      <c r="D35" s="30" t="str">
        <f>IF(E15=Výpočty!B23,'Veřejný subjekt (410) '!C29,IF(E15=Výpočty!B24,'Podnikatel (500)'!C29,IF(E15=Výpočty!B25,'Banky a fin. instituce (501)'!C29,IF(E15=Výpočty!B26,'Pojišťovny (502)'!C29,IF(E15=Výpočty!B27,'Zdrav pojišťovny (503)'!C29,IF(E15=Výpočty!B28,'Nepodnikatel (504)'!C29,"-"))))))</f>
        <v>-</v>
      </c>
      <c r="E35" s="30" t="str">
        <f>IF(E15=Výpočty!B23,'Veřejný subjekt (410) '!D29,IF(E15=Výpočty!B24,'Podnikatel (500)'!D29,IF(E15=Výpočty!B25,'Banky a fin. instituce (501)'!D29,IF(E15=Výpočty!B26,'Pojišťovny (502)'!D29,IF(E15=Výpočty!B27,'Zdrav pojišťovny (503)'!D29,IF(E15=Výpočty!B28,'Nepodnikatel (504)'!D29,"-"))))))</f>
        <v>-</v>
      </c>
      <c r="F35" s="42"/>
      <c r="G35" s="13"/>
      <c r="H35" s="12"/>
    </row>
    <row r="36" spans="2:8" ht="24.95" customHeight="1" x14ac:dyDescent="0.25">
      <c r="B36" s="452" t="str">
        <f>IF(E15=Výpočty!B23,'Veřejný subjekt (410) '!B30,IF(E15=Výpočty!B24,'Podnikatel (500)'!B30,IF(E15=Výpočty!B25,'Banky a fin. instituce (501)'!B30,IF(E15=Výpočty!B26,'Pojišťovny (502)'!B30,IF(E15=Výpočty!B27,'Zdrav pojišťovny (503)'!B30,IF(E15=Výpočty!B28,'Nepodnikatel (504)'!B30,"-"))))))</f>
        <v>-</v>
      </c>
      <c r="C36" s="453"/>
      <c r="D36" s="30" t="str">
        <f>IF(E15=Výpočty!B23,'Veřejný subjekt (410) '!C30,IF(E15=Výpočty!B24,'Podnikatel (500)'!C30,IF(E15=Výpočty!B25,'Banky a fin. instituce (501)'!C30,IF(E15=Výpočty!B26,'Pojišťovny (502)'!C30,IF(E15=Výpočty!B27,'Zdrav pojišťovny (503)'!C30,IF(E15=Výpočty!B28,'Nepodnikatel (504)'!C30,"-"))))))</f>
        <v>-</v>
      </c>
      <c r="E36" s="30" t="str">
        <f>IF(E15=Výpočty!B23,'Veřejný subjekt (410) '!D30,IF(E15=Výpočty!B24,'Podnikatel (500)'!D30,IF(E15=Výpočty!B25,'Banky a fin. instituce (501)'!D30,IF(E15=Výpočty!B26,'Pojišťovny (502)'!D30,IF(E15=Výpočty!B27,'Zdrav pojišťovny (503)'!D30,IF(E15=Výpočty!B28,'Nepodnikatel (504)'!D30,"-"))))))</f>
        <v>-</v>
      </c>
      <c r="F36" s="42"/>
      <c r="G36" s="13"/>
      <c r="H36" s="12"/>
    </row>
    <row r="37" spans="2:8" ht="24.95" customHeight="1" x14ac:dyDescent="0.25">
      <c r="B37" s="452" t="str">
        <f>IF(E15=Výpočty!B23,'Veřejný subjekt (410) '!B31,IF(E15=Výpočty!B24,'Podnikatel (500)'!B31,IF(E15=Výpočty!B25,'Banky a fin. instituce (501)'!B31,IF(E15=Výpočty!B26,'Pojišťovny (502)'!B31,IF(E15=Výpočty!B27,'Zdrav pojišťovny (503)'!B31,IF(E15=Výpočty!B28,'Nepodnikatel (504)'!B31,"-"))))))</f>
        <v>-</v>
      </c>
      <c r="C37" s="453"/>
      <c r="D37" s="30" t="str">
        <f>IF(E15=Výpočty!B23,'Veřejný subjekt (410) '!C31,IF(E15=Výpočty!B24,'Podnikatel (500)'!C31,IF(E15=Výpočty!B25,'Banky a fin. instituce (501)'!C31,IF(E15=Výpočty!B26,'Pojišťovny (502)'!C31,IF(E15=Výpočty!B27,'Zdrav pojišťovny (503)'!C31,IF(E15=Výpočty!B28,'Nepodnikatel (504)'!C31,"-"))))))</f>
        <v>-</v>
      </c>
      <c r="E37" s="30" t="str">
        <f>IF(E15=Výpočty!B23,'Veřejný subjekt (410) '!D31,IF(E15=Výpočty!B24,'Podnikatel (500)'!D31,IF(E15=Výpočty!B25,'Banky a fin. instituce (501)'!D31,IF(E15=Výpočty!B26,'Pojišťovny (502)'!D31,IF(E15=Výpočty!B27,'Zdrav pojišťovny (503)'!D31,IF(E15=Výpočty!B28,'Nepodnikatel (504)'!D31,"-"))))))</f>
        <v>-</v>
      </c>
      <c r="F37" s="42"/>
      <c r="G37" s="13"/>
      <c r="H37" s="12"/>
    </row>
    <row r="38" spans="2:8" ht="24.95" customHeight="1" thickBot="1" x14ac:dyDescent="0.3">
      <c r="B38" s="450" t="s">
        <v>17</v>
      </c>
      <c r="C38" s="451"/>
      <c r="D38" s="451"/>
      <c r="E38" s="451"/>
      <c r="F38" s="311" t="str">
        <f>IF(E15=Výpočty!B23,'Veřejný subjekt (410) '!E32,IF(E15=Výpočty!B24,'Podnikatel (500)'!E32,IF(E15=Výpočty!B25,'Banky a fin. instituce (501)'!E32,IF(E15=Výpočty!B26,'Pojišťovny (502)'!E32,IF(E15=Výpočty!B27,'Zdrav pojišťovny (503)'!E32,IF(E15=Výpočty!B28,'Nepodnikatel (504)'!E32,"Ne"))))))</f>
        <v>Ne</v>
      </c>
      <c r="G38" s="13"/>
      <c r="H38" s="12"/>
    </row>
    <row r="39" spans="2:8" ht="16.5" thickBot="1" x14ac:dyDescent="0.3">
      <c r="B39" s="21"/>
      <c r="C39" s="13"/>
      <c r="D39" s="13"/>
      <c r="E39" s="5"/>
      <c r="F39" s="5"/>
      <c r="G39" s="13"/>
      <c r="H39" s="12"/>
    </row>
    <row r="40" spans="2:8" ht="36" customHeight="1" x14ac:dyDescent="0.25">
      <c r="B40" s="457" t="s">
        <v>102</v>
      </c>
      <c r="C40" s="458"/>
      <c r="D40" s="403" t="s">
        <v>61</v>
      </c>
      <c r="E40" s="403"/>
      <c r="F40" s="28" t="s">
        <v>46</v>
      </c>
      <c r="G40" s="13"/>
      <c r="H40" s="12"/>
    </row>
    <row r="41" spans="2:8" ht="24.95" customHeight="1" x14ac:dyDescent="0.25">
      <c r="B41" s="407" t="str">
        <f>IF(E15=Výpočty!B23,'Veřejný subjekt (410) '!B35,IF(E15=Výpočty!B24,'Podnikatel (500)'!B35,IF(E15=Výpočty!B25,'Banky a fin. instituce (501)'!B35,IF(E15=Výpočty!B26,'Pojišťovny (502)'!B35,IF(E15=Výpočty!B27,'Zdrav pojišťovny (503)'!B35,IF(E15=Výpočty!B28,'Nepodnikatel (504)'!B35,"-"))))))</f>
        <v>-</v>
      </c>
      <c r="C41" s="408"/>
      <c r="D41" s="447" t="str">
        <f>IF(E15=Výpočty!B22,"-","Insolvenční rejstřík")</f>
        <v>-</v>
      </c>
      <c r="E41" s="447"/>
      <c r="F41" s="3" t="s">
        <v>71</v>
      </c>
      <c r="G41" s="444" t="str">
        <f>IF(E15=Výpočty!B28,'Nepodnikatel (504)'!F35,IF(E15=Výpočty!B23,'Veřejný subjekt (410) '!F35,IF(E15=Výpočty!B25,'Banky a fin. instituce (501)'!F35,IF(E15=Výpočty!B27,'Zdrav pojišťovny (503)'!F35,""))))</f>
        <v/>
      </c>
      <c r="H41" s="444"/>
    </row>
    <row r="42" spans="2:8" ht="24.95" customHeight="1" x14ac:dyDescent="0.25">
      <c r="B42" s="407" t="str">
        <f>IF(E15=Výpočty!B23,'Veřejný subjekt (410) '!B36,IF(E15=Výpočty!B24,'Podnikatel (500)'!B36,IF(E15=Výpočty!B25,'Banky a fin. instituce (501)'!B36,IF(E15=Výpočty!B26,'Pojišťovny (502)'!B36,IF(E15=Výpočty!B27,'Zdrav pojišťovny (503)'!B36,IF(E15=Výpočty!B28,'Nepodnikatel (504)'!B36,"-"))))))</f>
        <v>-</v>
      </c>
      <c r="C42" s="408"/>
      <c r="D42" s="447" t="str">
        <f>IF(E15=Výpočty!B22,"-","žadatel")</f>
        <v>-</v>
      </c>
      <c r="E42" s="447"/>
      <c r="F42" s="3" t="s">
        <v>71</v>
      </c>
      <c r="G42" s="444"/>
      <c r="H42" s="444"/>
    </row>
    <row r="43" spans="2:8" ht="24.95" customHeight="1" thickBot="1" x14ac:dyDescent="0.3">
      <c r="B43" s="448" t="s">
        <v>19</v>
      </c>
      <c r="C43" s="449"/>
      <c r="D43" s="449"/>
      <c r="E43" s="449"/>
      <c r="F43" s="25" t="str">
        <f>IF(OR(F41="Ano",F42="Ano"),"Ano","Ne")</f>
        <v>Ne</v>
      </c>
      <c r="G43" s="13"/>
      <c r="H43" s="12"/>
    </row>
    <row r="44" spans="2:8" ht="16.5" thickBot="1" x14ac:dyDescent="0.3">
      <c r="B44" s="21"/>
      <c r="C44" s="12"/>
      <c r="D44" s="12"/>
      <c r="E44" s="9"/>
      <c r="F44" s="5"/>
      <c r="G44" s="13"/>
      <c r="H44" s="12"/>
    </row>
    <row r="45" spans="2:8" ht="36" customHeight="1" x14ac:dyDescent="0.25">
      <c r="B45" s="457" t="s">
        <v>103</v>
      </c>
      <c r="C45" s="458"/>
      <c r="D45" s="403" t="s">
        <v>61</v>
      </c>
      <c r="E45" s="403"/>
      <c r="F45" s="28" t="s">
        <v>46</v>
      </c>
      <c r="G45" s="13"/>
      <c r="H45" s="12"/>
    </row>
    <row r="46" spans="2:8" ht="30" customHeight="1" x14ac:dyDescent="0.25">
      <c r="B46" s="407" t="str">
        <f>IF(E15=Výpočty!B22,"-","Obdržel žadatel podporu na záchranu a zatím nesplatil půjčku nebo neukončil záruku?")</f>
        <v>-</v>
      </c>
      <c r="C46" s="408"/>
      <c r="D46" s="447" t="str">
        <f>IF(E15=Výpočty!B22,"-","žadatel")</f>
        <v>-</v>
      </c>
      <c r="E46" s="447"/>
      <c r="F46" s="3" t="s">
        <v>71</v>
      </c>
      <c r="G46" s="43"/>
      <c r="H46" s="12"/>
    </row>
    <row r="47" spans="2:8" ht="30" customHeight="1" x14ac:dyDescent="0.25">
      <c r="B47" s="407" t="str">
        <f>IF(E15=Výpočty!B22,"-","Obdržel žadatel podporu na restrukturalizaci a stále se na něj uplatňuje plán restrukturalizace?")</f>
        <v>-</v>
      </c>
      <c r="C47" s="408"/>
      <c r="D47" s="447" t="str">
        <f>IF(E15=Výpočty!B22,"-","žadatel")</f>
        <v>-</v>
      </c>
      <c r="E47" s="447"/>
      <c r="F47" s="3" t="s">
        <v>71</v>
      </c>
      <c r="G47" s="13"/>
      <c r="H47" s="12"/>
    </row>
    <row r="48" spans="2:8" ht="24.75" customHeight="1" thickBot="1" x14ac:dyDescent="0.3">
      <c r="B48" s="448" t="s">
        <v>20</v>
      </c>
      <c r="C48" s="449"/>
      <c r="D48" s="449"/>
      <c r="E48" s="449"/>
      <c r="F48" s="25" t="str">
        <f>IF(OR(F46="Ano",F47="Ano"),"Ano","Ne")</f>
        <v>Ne</v>
      </c>
      <c r="G48" s="13"/>
      <c r="H48" s="12"/>
    </row>
    <row r="49" spans="2:9" ht="16.5" thickBot="1" x14ac:dyDescent="0.3">
      <c r="B49" s="21"/>
      <c r="C49" s="12"/>
      <c r="D49" s="12"/>
      <c r="E49" s="9"/>
      <c r="F49" s="5"/>
      <c r="G49" s="13"/>
      <c r="H49" s="12"/>
    </row>
    <row r="50" spans="2:9" ht="36" customHeight="1" thickBot="1" x14ac:dyDescent="0.3">
      <c r="B50" s="454" t="s">
        <v>104</v>
      </c>
      <c r="C50" s="455"/>
      <c r="D50" s="455"/>
      <c r="E50" s="456"/>
      <c r="F50" s="26" t="str">
        <f>IF(OR(E24="kritéria A,C,D,E",E24="kritéria B,C,D,E",E24="kritéria C,D,E"),"RELEVANTNÍ","NERELEVANTNÍ")</f>
        <v>NERELEVANTNÍ</v>
      </c>
      <c r="G50" s="17"/>
      <c r="H50" s="8"/>
    </row>
    <row r="51" spans="2:9" ht="6.75" customHeight="1" thickBot="1" x14ac:dyDescent="0.3">
      <c r="B51" s="21"/>
      <c r="C51" s="12"/>
      <c r="D51" s="12"/>
      <c r="E51" s="9"/>
      <c r="F51" s="21"/>
      <c r="G51" s="21"/>
      <c r="H51" s="8"/>
    </row>
    <row r="52" spans="2:9" ht="18" customHeight="1" x14ac:dyDescent="0.25">
      <c r="B52" s="457" t="s">
        <v>105</v>
      </c>
      <c r="C52" s="458"/>
      <c r="D52" s="403" t="s">
        <v>61</v>
      </c>
      <c r="E52" s="405" t="s">
        <v>98</v>
      </c>
      <c r="F52" s="313" t="s">
        <v>404</v>
      </c>
      <c r="G52" s="314" t="s">
        <v>407</v>
      </c>
      <c r="H52" s="8"/>
    </row>
    <row r="53" spans="2:9" ht="18" customHeight="1" x14ac:dyDescent="0.25">
      <c r="B53" s="459"/>
      <c r="C53" s="460"/>
      <c r="D53" s="404"/>
      <c r="E53" s="406"/>
      <c r="F53" s="315" t="str">
        <f>IF($E$12&gt;1,$E$12,"")</f>
        <v/>
      </c>
      <c r="G53" s="301" t="str">
        <f>IF(I53="","",I53-1)</f>
        <v/>
      </c>
      <c r="H53" s="8"/>
      <c r="I53" s="316" t="str">
        <f>IF($E$12&gt;1,$E$12,"")</f>
        <v/>
      </c>
    </row>
    <row r="54" spans="2:9" ht="27.75" customHeight="1" x14ac:dyDescent="0.25">
      <c r="B54" s="407" t="str">
        <f>IF(E15=Výpočty!B23,'Veřejný subjekt (410) '!B47,IF(E15=Výpočty!B24,'Podnikatel (500)'!B47,IF(E15=Výpočty!B25,'Banky a fin. instituce (501)'!B47,IF(E15=Výpočty!B26,'Pojišťovny (502)'!B47,IF(E15=Výpočty!B27,'Zdrav pojišťovny (503)'!B47,IF(E15=Výpočty!B28,'Nepodnikatel (504)'!B47,"-"))))))</f>
        <v>-</v>
      </c>
      <c r="C54" s="408"/>
      <c r="D54" s="19" t="str">
        <f>IF(E15=Výpočty!B23,'Veřejný subjekt (410) '!C47,IF(E15=Výpočty!B24,'Podnikatel (500)'!C47,IF(E15=Výpočty!B25,'Banky a fin. instituce (501)'!C47,IF(E15=Výpočty!B26,'Pojišťovny (502)'!C47,IF(E15=Výpočty!B27,'Zdrav pojišťovny (503)'!C47,IF(E15=Výpočty!B28,'Nepodnikatel (504)'!C47,"-"))))))</f>
        <v>-</v>
      </c>
      <c r="E54" s="19" t="str">
        <f>IF(E15=Výpočty!B23,'Veřejný subjekt (410) '!D47,IF(E15=Výpočty!B24,'Podnikatel (500)'!D47,IF(E15=Výpočty!B25,'Banky a fin. instituce (501)'!D47,IF(E15=Výpočty!B26,'Pojišťovny (502)'!D47,IF(E15=Výpočty!B27,'Zdrav pojišťovny (503)'!D47,IF(E15=Výpočty!B28,'Nepodnikatel (504)'!D47,"-"))))))</f>
        <v>-</v>
      </c>
      <c r="F54" s="4"/>
      <c r="G54" s="42"/>
      <c r="H54" s="8"/>
    </row>
    <row r="55" spans="2:9" ht="24.95" customHeight="1" x14ac:dyDescent="0.25">
      <c r="B55" s="407" t="str">
        <f>IF(E15=Výpočty!B23,'Veřejný subjekt (410) '!B48,IF(E15=Výpočty!B24,'Podnikatel (500)'!B48,IF(E15=Výpočty!B25,'Banky a fin. instituce (501)'!B48,IF(E15=Výpočty!B26,'Pojišťovny (502)'!B48,IF(E15=Výpočty!B27,'Zdrav pojišťovny (503)'!B48,IF(E15=Výpočty!B28,'Nepodnikatel (504)'!B48,"-"))))))</f>
        <v>-</v>
      </c>
      <c r="C55" s="408"/>
      <c r="D55" s="19" t="str">
        <f>IF(E15=Výpočty!B23,'Veřejný subjekt (410) '!C48,IF(E15=Výpočty!B24,'Podnikatel (500)'!C48,IF(E15=Výpočty!B25,'Banky a fin. instituce (501)'!C48,IF(E15=Výpočty!B26,'Pojišťovny (502)'!C48,IF(E15=Výpočty!B27,'Zdrav pojišťovny (503)'!C48,IF(E15=Výpočty!B28,'Nepodnikatel (504)'!C48,"-"))))))</f>
        <v>-</v>
      </c>
      <c r="E55" s="19" t="str">
        <f>IF(E15=Výpočty!B23,'Veřejný subjekt (410) '!D48,IF(E15=Výpočty!B24,'Podnikatel (500)'!D48,IF(E15=Výpočty!B25,'Banky a fin. instituce (501)'!D48,IF(E15=Výpočty!B26,'Pojišťovny (502)'!D48,IF(E15=Výpočty!B27,'Zdrav pojišťovny (503)'!D48,IF(E15=Výpočty!B28,'Nepodnikatel (504)'!D48,"-"))))))</f>
        <v>-</v>
      </c>
      <c r="F55" s="4"/>
      <c r="G55" s="42"/>
      <c r="H55" s="8"/>
    </row>
    <row r="56" spans="2:9" ht="24.95" customHeight="1" x14ac:dyDescent="0.25">
      <c r="B56" s="407" t="str">
        <f>IF(E15=Výpočty!B23,'Veřejný subjekt (410) '!B49,IF(E15=Výpočty!B24,'Podnikatel (500)'!B49,IF(E15=Výpočty!B25,'Banky a fin. instituce (501)'!B49,IF(E15=Výpočty!B26,'Pojišťovny (502)'!B48,IF(E15=Výpočty!B27,'Zdrav pojišťovny (503)'!B49,IF(E15=Výpočty!B28,'Nepodnikatel (504)'!B49,"-"))))))</f>
        <v>-</v>
      </c>
      <c r="C56" s="408"/>
      <c r="D56" s="408"/>
      <c r="E56" s="408"/>
      <c r="F56" s="317" t="str">
        <f>IF((F54)=0,"NR",(F55/F54))</f>
        <v>NR</v>
      </c>
      <c r="G56" s="318" t="str">
        <f>IF((G54)=0,"NR",(G55/G54))</f>
        <v>NR</v>
      </c>
      <c r="H56" s="8"/>
    </row>
    <row r="57" spans="2:9" ht="24.95" customHeight="1" thickBot="1" x14ac:dyDescent="0.3">
      <c r="B57" s="448" t="s">
        <v>22</v>
      </c>
      <c r="C57" s="449"/>
      <c r="D57" s="449"/>
      <c r="E57" s="449"/>
      <c r="F57" s="319" t="str">
        <f>IF((F54)="0","Ano",IF((F56)&lt;0,"Chyba",IF(F56&gt;7.5,"Ano","Ne")))</f>
        <v>Ano</v>
      </c>
      <c r="G57" s="320" t="str">
        <f>IF((G54)="0","Ano",IF((G56)&lt;0,"Chyba",IF(G56&gt;7.5,"Ano","Ne")))</f>
        <v>Ano</v>
      </c>
      <c r="H57" s="8"/>
    </row>
    <row r="58" spans="2:9" ht="6.75" customHeight="1" thickBot="1" x14ac:dyDescent="0.3">
      <c r="B58" s="21"/>
      <c r="C58" s="12"/>
      <c r="D58" s="12"/>
      <c r="E58" s="12"/>
      <c r="F58" s="17"/>
      <c r="G58" s="17"/>
      <c r="H58" s="8"/>
    </row>
    <row r="59" spans="2:9" ht="18" customHeight="1" x14ac:dyDescent="0.25">
      <c r="B59" s="457" t="s">
        <v>106</v>
      </c>
      <c r="C59" s="458"/>
      <c r="D59" s="403" t="s">
        <v>61</v>
      </c>
      <c r="E59" s="403" t="s">
        <v>98</v>
      </c>
      <c r="F59" s="313" t="s">
        <v>404</v>
      </c>
      <c r="G59" s="314" t="s">
        <v>407</v>
      </c>
      <c r="H59" s="8"/>
    </row>
    <row r="60" spans="2:9" ht="18" customHeight="1" x14ac:dyDescent="0.25">
      <c r="B60" s="459"/>
      <c r="C60" s="460"/>
      <c r="D60" s="404"/>
      <c r="E60" s="404"/>
      <c r="F60" s="321" t="str">
        <f>F53</f>
        <v/>
      </c>
      <c r="G60" s="316" t="str">
        <f>G53</f>
        <v/>
      </c>
      <c r="H60" s="8"/>
    </row>
    <row r="61" spans="2:9" ht="24.95" customHeight="1" x14ac:dyDescent="0.25">
      <c r="B61" s="407" t="str">
        <f>IF(E15=Výpočty!B23,'Veřejný subjekt (410) '!B53,IF(E15=Výpočty!B24,'Podnikatel (500)'!B53,IF(E15=Výpočty!B25,'Banky a fin. instituce (501)'!B53,IF(E15=Výpočty!B26,'Pojišťovny (502)'!B53,IF(E15=Výpočty!B27,'Zdrav pojišťovny (503)'!B53,IF(E15=Výpočty!B28,'Nepodnikatel (504)'!B53,"-"))))))</f>
        <v>-</v>
      </c>
      <c r="C61" s="408"/>
      <c r="D61" s="19" t="str">
        <f>IF(E15=Výpočty!B23,'Veřejný subjekt (410) '!C53,IF(E15=Výpočty!B24,'Podnikatel (500)'!C53,IF(E15=Výpočty!B25,'Banky a fin. instituce (501)'!C53,IF(E15=Výpočty!B26,'Pojišťovny (502)'!C53,IF(E15=Výpočty!B27,'Zdrav pojišťovny (503)'!C53,IF(E15=Výpočty!B28,'Nepodnikatel (504)'!C53,"-"))))))</f>
        <v>-</v>
      </c>
      <c r="E61" s="19" t="str">
        <f>IF(E15=Výpočty!B23,'Veřejný subjekt (410) '!D53,IF(E15=Výpočty!B24,'Podnikatel (500)'!D53,IF(E15=Výpočty!B25,'Banky a fin. instituce (501)'!D53,IF(E15=Výpočty!B26,'Pojišťovny (502)'!D53,IF(E15=Výpočty!B27,'Zdrav pojišťovny (503)'!D53,IF(E15=Výpočty!B28,'Nepodnikatel (504)'!D53,"-"))))))</f>
        <v>-</v>
      </c>
      <c r="F61" s="128"/>
      <c r="G61" s="129"/>
      <c r="H61" s="8"/>
    </row>
    <row r="62" spans="2:9" ht="24.95" customHeight="1" x14ac:dyDescent="0.25">
      <c r="B62" s="407" t="str">
        <f>IF(E15=Výpočty!B23,'Veřejný subjekt (410) '!B54,IF(E15=Výpočty!B24,'Podnikatel (500)'!B54,IF(E15=Výpočty!B25,'Banky a fin. instituce (501)'!B54,IF(E15=Výpočty!B26,'Pojišťovny (502)'!B54,IF(E15=Výpočty!B27,'Zdrav pojišťovny (503)'!B54,IF(E15=Výpočty!B28,'Nepodnikatel (504)'!B54,"-"))))))</f>
        <v>-</v>
      </c>
      <c r="C62" s="408"/>
      <c r="D62" s="19" t="str">
        <f>IF(E15=Výpočty!B23,'Veřejný subjekt (410) '!C54,IF(E15=Výpočty!B24,'Podnikatel (500)'!C54,IF(E15=Výpočty!B25,'Banky a fin. instituce (501)'!C54,IF(E15=Výpočty!B26,'Pojišťovny (502)'!C54,IF(E15=Výpočty!B27,'Zdrav pojišťovny (503)'!C54,IF(E15=Výpočty!B28,'Nepodnikatel (504)'!C54,"-"))))))</f>
        <v>-</v>
      </c>
      <c r="E62" s="19" t="str">
        <f>IF(E15=Výpočty!B23,'Veřejný subjekt (410) '!D54,IF(E15=Výpočty!B24,'Podnikatel (500)'!D54,IF(E15=Výpočty!B25,'Banky a fin. instituce (501)'!D54,IF(E15=Výpočty!B26,'Pojišťovny (502)'!D54,IF(E15=Výpočty!B27,'Zdrav pojišťovny (503)'!D54,IF(E15=Výpočty!B28,'Nepodnikatel (504)'!D54,"-"))))))</f>
        <v>-</v>
      </c>
      <c r="F62" s="4"/>
      <c r="G62" s="42"/>
      <c r="H62" s="8"/>
    </row>
    <row r="63" spans="2:9" ht="24.95" customHeight="1" x14ac:dyDescent="0.25">
      <c r="B63" s="407" t="str">
        <f>IF(E15=Výpočty!B23,'Veřejný subjekt (410) '!B55,IF(E15=Výpočty!B24,'Podnikatel (500)'!B55,IF(E15=Výpočty!B25,'Banky a fin. instituce (501)'!B55,IF(E15=Výpočty!B26,'Pojišťovny (502)'!B55,IF(E15=Výpočty!B27,'Zdrav pojišťovny (503)'!B55,IF(E15=Výpočty!B28,'Nepodnikatel (504)'!B55,"-"))))))</f>
        <v>-</v>
      </c>
      <c r="C63" s="408"/>
      <c r="D63" s="19" t="str">
        <f>IF(E15=Výpočty!B23,'Veřejný subjekt (410) '!C55,IF(E15=Výpočty!B24,'Podnikatel (500)'!C55,IF(E15=Výpočty!B25,'Banky a fin. instituce (501)'!C55,IF(E15=Výpočty!B26,'Pojišťovny (502)'!C55,IF(E15=Výpočty!B27,'Zdrav pojišťovny (503)'!C55,IF(E15=Výpočty!B28,'Nepodnikatel (504)'!C55,"-"))))))</f>
        <v>-</v>
      </c>
      <c r="E63" s="19" t="str">
        <f>IF(E15=Výpočty!B23,'Veřejný subjekt (410) '!D55,IF(E15=Výpočty!B24,'Podnikatel (500)'!D55,IF(E15=Výpočty!B25,'Banky a fin. instituce (501)'!D55,IF(E15=Výpočty!B26,'Pojišťovny (502)'!D55,IF(E15=Výpočty!B27,'Zdrav pojišťovny (503)'!D55,IF(E15=Výpočty!B28,'Nepodnikatel (504)'!D55,"-"))))))</f>
        <v>-</v>
      </c>
      <c r="F63" s="4"/>
      <c r="G63" s="42"/>
      <c r="H63" s="8"/>
    </row>
    <row r="64" spans="2:9" ht="24.95" customHeight="1" x14ac:dyDescent="0.25">
      <c r="B64" s="407" t="str">
        <f>IF(E15=Výpočty!B23,'Veřejný subjekt (410) '!B56,IF(E15=Výpočty!B24,'Podnikatel (500)'!B56,IF(E15=Výpočty!B25,'Banky a fin. instituce (501)'!B56,IF(E15=Výpočty!B26,'Pojišťovny (502)'!B56,IF(E15=Výpočty!B27,'Zdrav pojišťovny (503)'!B56,IF(E15=Výpočty!B28,'Nepodnikatel (504)'!B56,"-"))))))</f>
        <v>-</v>
      </c>
      <c r="C64" s="408"/>
      <c r="D64" s="408"/>
      <c r="E64" s="408"/>
      <c r="F64" s="317" t="str">
        <f>IF(F62=0,"NR",(F61+F62+F63)/F62)</f>
        <v>NR</v>
      </c>
      <c r="G64" s="318" t="str">
        <f>IF(G62=0,"NR",(G61+G62+G63)/G62)</f>
        <v>NR</v>
      </c>
      <c r="H64" s="8"/>
    </row>
    <row r="65" spans="2:8" ht="24.95" customHeight="1" thickBot="1" x14ac:dyDescent="0.3">
      <c r="B65" s="448" t="s">
        <v>107</v>
      </c>
      <c r="C65" s="449"/>
      <c r="D65" s="449"/>
      <c r="E65" s="449"/>
      <c r="F65" s="319" t="str">
        <f>IF((F64)="NR","NR",IF((F64)&lt;1,"Ano","Ne"))</f>
        <v>NR</v>
      </c>
      <c r="G65" s="320" t="str">
        <f>IF((G64)="NR","NR",IF((G64)&lt;1,"Ano","Ne"))</f>
        <v>NR</v>
      </c>
      <c r="H65" s="8"/>
    </row>
    <row r="66" spans="2:8" ht="6.75" customHeight="1" thickBot="1" x14ac:dyDescent="0.3">
      <c r="B66" s="21"/>
      <c r="C66" s="12"/>
      <c r="D66" s="12"/>
      <c r="E66" s="9"/>
      <c r="F66" s="5"/>
      <c r="G66" s="13"/>
      <c r="H66" s="12"/>
    </row>
    <row r="67" spans="2:8" ht="24.95" customHeight="1" thickBot="1" x14ac:dyDescent="0.3">
      <c r="B67" s="468" t="s">
        <v>29</v>
      </c>
      <c r="C67" s="469"/>
      <c r="D67" s="469"/>
      <c r="E67" s="470"/>
      <c r="F67" s="14" t="str">
        <f>IF(AND(F57="ANO",G57="Ano",F65="Ano",G65="Ano"),"Ano","Ne")</f>
        <v>Ne</v>
      </c>
      <c r="G67" s="13"/>
      <c r="H67" s="15"/>
    </row>
    <row r="68" spans="2:8" ht="22.5" customHeight="1" thickBot="1" x14ac:dyDescent="0.3">
      <c r="B68" s="21"/>
      <c r="C68" s="12"/>
      <c r="D68" s="12"/>
      <c r="E68" s="9"/>
      <c r="F68" s="5"/>
      <c r="G68" s="13"/>
      <c r="H68" s="12"/>
    </row>
    <row r="69" spans="2:8" ht="56.25" customHeight="1" thickBot="1" x14ac:dyDescent="0.3">
      <c r="B69" s="465" t="s">
        <v>108</v>
      </c>
      <c r="C69" s="466"/>
      <c r="D69" s="466"/>
      <c r="E69" s="467"/>
      <c r="F69" s="16" t="str">
        <f>IF(OR(F31="ANO",F38="Ano",F43="Ano",F48="Ano",F67="Ano"),"Ano","Ne")</f>
        <v>Ne</v>
      </c>
      <c r="G69" s="302" t="s">
        <v>416</v>
      </c>
      <c r="H69" s="322"/>
    </row>
    <row r="70" spans="2:8" x14ac:dyDescent="0.25">
      <c r="B70" s="409" t="str">
        <f>IF(E15=Výpočty!B23,"Žadatel, který vede účetnictví dle vyhlášky č. 410/2009 Sb. nemusí vyplňovat list Skupina podniků - Test samotného žadatele je dostatečný.","")</f>
        <v/>
      </c>
      <c r="C70" s="409"/>
      <c r="D70" s="409"/>
      <c r="E70" s="409"/>
      <c r="F70" s="409"/>
      <c r="G70" s="409"/>
    </row>
    <row r="71" spans="2:8" x14ac:dyDescent="0.25">
      <c r="B71" s="409"/>
      <c r="C71" s="409"/>
      <c r="D71" s="409"/>
      <c r="E71" s="409"/>
      <c r="F71" s="409"/>
      <c r="G71" s="409"/>
    </row>
    <row r="72" spans="2:8" x14ac:dyDescent="0.25">
      <c r="B72" s="368" t="str">
        <f>IF(F69="Ano","Výsledek testu je pozitivní (žadatel je podnikem v obtížích). Nepokračujte v testu dále, žadateli nelze poskytnout podporu!","")</f>
        <v/>
      </c>
    </row>
    <row r="73" spans="2:8" ht="16.5" customHeight="1" x14ac:dyDescent="0.25">
      <c r="B73" s="134" t="str">
        <f>IF(OR(E15=Výpočty!B23,F69="Ano"),"","Krok 5: Kliknutím na níže uvedené pole dojde k přesměrování na list Skupina podniků.")</f>
        <v>Krok 5: Kliknutím na níže uvedené pole dojde k přesměrování na list Skupina podniků.</v>
      </c>
    </row>
    <row r="74" spans="2:8" ht="4.5" customHeight="1" x14ac:dyDescent="0.25"/>
    <row r="75" spans="2:8" x14ac:dyDescent="0.25">
      <c r="B75" s="402" t="s">
        <v>417</v>
      </c>
    </row>
    <row r="76" spans="2:8" x14ac:dyDescent="0.25">
      <c r="B76" s="402"/>
    </row>
    <row r="80" spans="2:8" x14ac:dyDescent="0.25">
      <c r="B80" s="248"/>
    </row>
  </sheetData>
  <sheetProtection algorithmName="SHA-512" hashValue="gv2M7jhusy/bf60j6IX3BGDYpxERGQsgEb4kbHLKLzsQF6H8SRB7aZGvnN4sEXz97sGm2lHHXVdbvZgvd/LYQw==" saltValue="OaddBSLSNUz4Ic8pgae0zg==" spinCount="100000" sheet="1" selectLockedCells="1"/>
  <mergeCells count="90">
    <mergeCell ref="B17:D17"/>
    <mergeCell ref="B18:D18"/>
    <mergeCell ref="B19:D19"/>
    <mergeCell ref="B22:D22"/>
    <mergeCell ref="B69:E69"/>
    <mergeCell ref="B62:C62"/>
    <mergeCell ref="B63:C63"/>
    <mergeCell ref="B64:E64"/>
    <mergeCell ref="B65:E65"/>
    <mergeCell ref="B67:E67"/>
    <mergeCell ref="B57:E57"/>
    <mergeCell ref="B55:C55"/>
    <mergeCell ref="B59:C60"/>
    <mergeCell ref="B61:C61"/>
    <mergeCell ref="B24:D24"/>
    <mergeCell ref="B26:C27"/>
    <mergeCell ref="B7:D7"/>
    <mergeCell ref="B9:D9"/>
    <mergeCell ref="B10:D10"/>
    <mergeCell ref="B14:D14"/>
    <mergeCell ref="B15:D15"/>
    <mergeCell ref="C8:D8"/>
    <mergeCell ref="B48:E48"/>
    <mergeCell ref="B50:E50"/>
    <mergeCell ref="B52:C53"/>
    <mergeCell ref="B54:C54"/>
    <mergeCell ref="B35:C35"/>
    <mergeCell ref="B36:C36"/>
    <mergeCell ref="B37:C37"/>
    <mergeCell ref="B38:E38"/>
    <mergeCell ref="B40:C40"/>
    <mergeCell ref="B41:C41"/>
    <mergeCell ref="D46:E46"/>
    <mergeCell ref="D47:E47"/>
    <mergeCell ref="B45:C45"/>
    <mergeCell ref="B46:C46"/>
    <mergeCell ref="B47:C47"/>
    <mergeCell ref="B31:E31"/>
    <mergeCell ref="B33:C34"/>
    <mergeCell ref="B28:C28"/>
    <mergeCell ref="B29:C29"/>
    <mergeCell ref="B30:C30"/>
    <mergeCell ref="E7:G7"/>
    <mergeCell ref="G41:H42"/>
    <mergeCell ref="G29:H30"/>
    <mergeCell ref="D45:E45"/>
    <mergeCell ref="D26:D27"/>
    <mergeCell ref="E26:E27"/>
    <mergeCell ref="D33:D34"/>
    <mergeCell ref="E33:E34"/>
    <mergeCell ref="C20:D20"/>
    <mergeCell ref="E20:G20"/>
    <mergeCell ref="C21:D21"/>
    <mergeCell ref="D40:E40"/>
    <mergeCell ref="D41:E41"/>
    <mergeCell ref="D42:E42"/>
    <mergeCell ref="B42:C42"/>
    <mergeCell ref="B43:E43"/>
    <mergeCell ref="E21:G21"/>
    <mergeCell ref="E24:F24"/>
    <mergeCell ref="E22:G22"/>
    <mergeCell ref="E17:G17"/>
    <mergeCell ref="E18:G18"/>
    <mergeCell ref="E19:G19"/>
    <mergeCell ref="G24:H24"/>
    <mergeCell ref="I12:K12"/>
    <mergeCell ref="C12:D12"/>
    <mergeCell ref="E15:G15"/>
    <mergeCell ref="B16:D16"/>
    <mergeCell ref="E12:G12"/>
    <mergeCell ref="E8:G8"/>
    <mergeCell ref="C11:D11"/>
    <mergeCell ref="E11:G11"/>
    <mergeCell ref="E16:G16"/>
    <mergeCell ref="E14:G14"/>
    <mergeCell ref="E9:G9"/>
    <mergeCell ref="E10:G10"/>
    <mergeCell ref="E4:G4"/>
    <mergeCell ref="C5:D5"/>
    <mergeCell ref="E5:G5"/>
    <mergeCell ref="E6:G6"/>
    <mergeCell ref="B4:D4"/>
    <mergeCell ref="B6:D6"/>
    <mergeCell ref="B75:B76"/>
    <mergeCell ref="D52:D53"/>
    <mergeCell ref="E52:E53"/>
    <mergeCell ref="D59:D60"/>
    <mergeCell ref="E59:E60"/>
    <mergeCell ref="B56:E56"/>
    <mergeCell ref="B70:G71"/>
  </mergeCells>
  <hyperlinks>
    <hyperlink ref="B75:B76" location="'3. Skupina podniků'!A1" display="SKUPINA PODNIKŮ" xr:uid="{18CE9579-D766-468E-B0D9-0B69C2CB6BD6}"/>
  </hyperlinks>
  <pageMargins left="0.25" right="0.25" top="0.75" bottom="0.75" header="0.3" footer="0.3"/>
  <pageSetup paperSize="9" scale="65" fitToHeight="0" orientation="portrait" r:id="rId1"/>
  <rowBreaks count="1" manualBreakCount="1">
    <brk id="48"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574" operator="containsText" text="&quot;RELEVANTNÍ&quot;" id="{3FF2C28E-A6E7-4187-85F1-345FB2953154}">
            <xm:f>NOT(ISERROR(SEARCH("""RELEVANTNÍ""",'Podnikatel (500)'!A4)))</xm:f>
            <x14:dxf>
              <font>
                <color rgb="FF006100"/>
              </font>
              <fill>
                <patternFill>
                  <bgColor rgb="FFC6EFCE"/>
                </patternFill>
              </fill>
            </x14:dxf>
          </x14:cfRule>
          <x14:cfRule type="beginsWith" priority="573" operator="beginsWith" text="RE" id="{CAA4BE30-5F4A-4913-84C4-F5F1ED0969F1}">
            <xm:f>LEFT('Podnikatel (500)'!A4,LEN("RE"))="RE"</xm:f>
            <x14:dxf>
              <font>
                <color rgb="FF006100"/>
              </font>
              <fill>
                <patternFill>
                  <bgColor rgb="FFC6EFCE"/>
                </patternFill>
              </fill>
            </x14:dxf>
          </x14:cfRule>
          <xm:sqref>A4</xm:sqref>
        </x14:conditionalFormatting>
        <x14:conditionalFormatting xmlns:xm="http://schemas.microsoft.com/office/excel/2006/main">
          <x14:cfRule type="containsText" priority="590" operator="containsText" text="&quot;RELEVANTNÍ&quot;" id="{3FF2C28E-A6E7-4187-85F1-345FB2953154}">
            <xm:f>NOT(ISERROR(SEARCH("""RELEVANTNÍ""",'Podnikatel (500)'!A18)))</xm:f>
            <x14:dxf>
              <font>
                <color rgb="FF006100"/>
              </font>
              <fill>
                <patternFill>
                  <bgColor rgb="FFC6EFCE"/>
                </patternFill>
              </fill>
            </x14:dxf>
          </x14:cfRule>
          <x14:cfRule type="beginsWith" priority="589" operator="beginsWith" text="RE" id="{CAA4BE30-5F4A-4913-84C4-F5F1ED0969F1}">
            <xm:f>LEFT('Podnikatel (500)'!A18,LEN("RE"))="RE"</xm:f>
            <x14:dxf>
              <font>
                <color rgb="FF006100"/>
              </font>
              <fill>
                <patternFill>
                  <bgColor rgb="FFC6EFCE"/>
                </patternFill>
              </fill>
            </x14:dxf>
          </x14:cfRule>
          <xm:sqref>A24</xm:sqref>
        </x14:conditionalFormatting>
        <x14:conditionalFormatting xmlns:xm="http://schemas.microsoft.com/office/excel/2006/main">
          <x14:cfRule type="beginsWith" priority="230" operator="beginsWith" text="RE" id="{CAA4BE30-5F4A-4913-84C4-F5F1ED0969F1}">
            <xm:f>LEFT('Podnikatel (500)'!A5,LEN("RE"))="RE"</xm:f>
            <x14:dxf>
              <font>
                <color rgb="FF006100"/>
              </font>
              <fill>
                <patternFill>
                  <bgColor rgb="FFC6EFCE"/>
                </patternFill>
              </fill>
            </x14:dxf>
          </x14:cfRule>
          <x14:cfRule type="containsText" priority="231" operator="containsText" text="&quot;RELEVANTNÍ&quot;" id="{3FF2C28E-A6E7-4187-85F1-345FB2953154}">
            <xm:f>NOT(ISERROR(SEARCH("""RELEVANTNÍ""",'Podnikatel (500)'!A5)))</xm:f>
            <x14:dxf>
              <font>
                <color rgb="FF006100"/>
              </font>
              <fill>
                <patternFill>
                  <bgColor rgb="FFC6EFCE"/>
                </patternFill>
              </fill>
            </x14:dxf>
          </x14:cfRule>
          <xm:sqref>B5</xm:sqref>
        </x14:conditionalFormatting>
        <x14:conditionalFormatting xmlns:xm="http://schemas.microsoft.com/office/excel/2006/main">
          <x14:cfRule type="beginsWith" priority="417" operator="beginsWith" text="RE" id="{CAA4BE30-5F4A-4913-84C4-F5F1ED0969F1}">
            <xm:f>LEFT('Podnikatel (500)'!A7,LEN("RE"))="RE"</xm:f>
            <x14:dxf>
              <font>
                <color rgb="FF006100"/>
              </font>
              <fill>
                <patternFill>
                  <bgColor rgb="FFC6EFCE"/>
                </patternFill>
              </fill>
            </x14:dxf>
          </x14:cfRule>
          <x14:cfRule type="containsText" priority="418" operator="containsText" text="&quot;RELEVANTNÍ&quot;" id="{3FF2C28E-A6E7-4187-85F1-345FB2953154}">
            <xm:f>NOT(ISERROR(SEARCH("""RELEVANTNÍ""",'Podnikatel (500)'!A7)))</xm:f>
            <x14:dxf>
              <font>
                <color rgb="FF006100"/>
              </font>
              <fill>
                <patternFill>
                  <bgColor rgb="FFC6EFCE"/>
                </patternFill>
              </fill>
            </x14:dxf>
          </x14:cfRule>
          <xm:sqref>B8</xm:sqref>
        </x14:conditionalFormatting>
        <x14:conditionalFormatting xmlns:xm="http://schemas.microsoft.com/office/excel/2006/main">
          <x14:cfRule type="beginsWith" priority="460" operator="beginsWith" text="RE" id="{CAA4BE30-5F4A-4913-84C4-F5F1ED0969F1}">
            <xm:f>LEFT('Podnikatel (500)'!A8,LEN("RE"))="RE"</xm:f>
            <x14:dxf>
              <font>
                <color rgb="FF006100"/>
              </font>
              <fill>
                <patternFill>
                  <bgColor rgb="FFC6EFCE"/>
                </patternFill>
              </fill>
            </x14:dxf>
          </x14:cfRule>
          <x14:cfRule type="containsText" priority="461" operator="containsText" text="&quot;RELEVANTNÍ&quot;" id="{3FF2C28E-A6E7-4187-85F1-345FB2953154}">
            <xm:f>NOT(ISERROR(SEARCH("""RELEVANTNÍ""",'Podnikatel (500)'!A8)))</xm:f>
            <x14:dxf>
              <font>
                <color rgb="FF006100"/>
              </font>
              <fill>
                <patternFill>
                  <bgColor rgb="FFC6EFCE"/>
                </patternFill>
              </fill>
            </x14:dxf>
          </x14:cfRule>
          <xm:sqref>B11:B12</xm:sqref>
        </x14:conditionalFormatting>
        <x14:conditionalFormatting xmlns:xm="http://schemas.microsoft.com/office/excel/2006/main">
          <x14:cfRule type="containsText" priority="507" operator="containsText" text="&quot;RELEVANTNÍ&quot;" id="{3FF2C28E-A6E7-4187-85F1-345FB2953154}">
            <xm:f>NOT(ISERROR(SEARCH("""RELEVANTNÍ""",'Podnikatel (500)'!A9)))</xm:f>
            <x14:dxf>
              <font>
                <color rgb="FF006100"/>
              </font>
              <fill>
                <patternFill>
                  <bgColor rgb="FFC6EFCE"/>
                </patternFill>
              </fill>
            </x14:dxf>
          </x14:cfRule>
          <x14:cfRule type="beginsWith" priority="506" operator="beginsWith" text="RE" id="{CAA4BE30-5F4A-4913-84C4-F5F1ED0969F1}">
            <xm:f>LEFT('Podnikatel (500)'!A9,LEN("RE"))="RE"</xm:f>
            <x14:dxf>
              <font>
                <color rgb="FF006100"/>
              </font>
              <fill>
                <patternFill>
                  <bgColor rgb="FFC6EFCE"/>
                </patternFill>
              </fill>
            </x14:dxf>
          </x14:cfRule>
          <xm:sqref>B13</xm:sqref>
        </x14:conditionalFormatting>
        <x14:conditionalFormatting xmlns:xm="http://schemas.microsoft.com/office/excel/2006/main">
          <x14:cfRule type="beginsWith" priority="44" operator="beginsWith" text="RE" id="{CAA4BE30-5F4A-4913-84C4-F5F1ED0969F1}">
            <xm:f>LEFT('Podnikatel (500)'!A14,LEN("RE"))="RE"</xm:f>
            <x14:dxf>
              <font>
                <color rgb="FF006100"/>
              </font>
              <fill>
                <patternFill>
                  <bgColor rgb="FFC6EFCE"/>
                </patternFill>
              </fill>
            </x14:dxf>
          </x14:cfRule>
          <x14:cfRule type="containsText" priority="45" operator="containsText" text="&quot;RELEVANTNÍ&quot;" id="{3FF2C28E-A6E7-4187-85F1-345FB2953154}">
            <xm:f>NOT(ISERROR(SEARCH("""RELEVANTNÍ""",'Podnikatel (500)'!A14)))</xm:f>
            <x14:dxf>
              <font>
                <color rgb="FF006100"/>
              </font>
              <fill>
                <patternFill>
                  <bgColor rgb="FFC6EFCE"/>
                </patternFill>
              </fill>
            </x14:dxf>
          </x14:cfRule>
          <xm:sqref>B20:B21 B23 B25 B32 B39 B44 B49 B51</xm:sqref>
        </x14:conditionalFormatting>
        <x14:conditionalFormatting xmlns:xm="http://schemas.microsoft.com/office/excel/2006/main">
          <x14:cfRule type="containsText" priority="527" operator="containsText" text="&quot;RELEVANTNÍ&quot;" id="{3FF2C28E-A6E7-4187-85F1-345FB2953154}">
            <xm:f>NOT(ISERROR(SEARCH("""RELEVANTNÍ""",'Podnikatel (500)'!A51)))</xm:f>
            <x14:dxf>
              <font>
                <color rgb="FF006100"/>
              </font>
              <fill>
                <patternFill>
                  <bgColor rgb="FFC6EFCE"/>
                </patternFill>
              </fill>
            </x14:dxf>
          </x14:cfRule>
          <x14:cfRule type="beginsWith" priority="526" operator="beginsWith" text="RE" id="{CAA4BE30-5F4A-4913-84C4-F5F1ED0969F1}">
            <xm:f>LEFT('Podnikatel (500)'!A51,LEN("RE"))="RE"</xm:f>
            <x14:dxf>
              <font>
                <color rgb="FF006100"/>
              </font>
              <fill>
                <patternFill>
                  <bgColor rgb="FFC6EFCE"/>
                </patternFill>
              </fill>
            </x14:dxf>
          </x14:cfRule>
          <xm:sqref>B58</xm:sqref>
        </x14:conditionalFormatting>
        <x14:conditionalFormatting xmlns:xm="http://schemas.microsoft.com/office/excel/2006/main">
          <x14:cfRule type="containsText" priority="570" operator="containsText" text="&quot;RELEVANTNÍ&quot;" id="{3FF2C28E-A6E7-4187-85F1-345FB2953154}">
            <xm:f>NOT(ISERROR(SEARCH("""RELEVANTNÍ""",'Podnikatel (500)'!A58)))</xm:f>
            <x14:dxf>
              <font>
                <color rgb="FF006100"/>
              </font>
              <fill>
                <patternFill>
                  <bgColor rgb="FFC6EFCE"/>
                </patternFill>
              </fill>
            </x14:dxf>
          </x14:cfRule>
          <x14:cfRule type="beginsWith" priority="569" operator="beginsWith" text="RE" id="{CAA4BE30-5F4A-4913-84C4-F5F1ED0969F1}">
            <xm:f>LEFT('Podnikatel (500)'!A58,LEN("RE"))="RE"</xm:f>
            <x14:dxf>
              <font>
                <color rgb="FF006100"/>
              </font>
              <fill>
                <patternFill>
                  <bgColor rgb="FFC6EFCE"/>
                </patternFill>
              </fill>
            </x14:dxf>
          </x14:cfRule>
          <xm:sqref>B66 B68</xm:sqref>
        </x14:conditionalFormatting>
        <x14:conditionalFormatting xmlns:xm="http://schemas.microsoft.com/office/excel/2006/main">
          <x14:cfRule type="beginsWith" priority="1" operator="beginsWith" text="RE" id="{2954EC55-E175-4047-80C7-2A92112410D0}">
            <xm:f>LEFT('Podnikatel (500)'!B65,LEN("RE"))="RE"</xm:f>
            <x14:dxf>
              <font>
                <color rgb="FF9C0006"/>
              </font>
              <fill>
                <patternFill>
                  <fgColor auto="1"/>
                  <bgColor theme="7" tint="0.79998168889431442"/>
                </patternFill>
              </fill>
            </x14:dxf>
          </x14:cfRule>
          <xm:sqref>B72</xm:sqref>
        </x14:conditionalFormatting>
        <x14:conditionalFormatting xmlns:xm="http://schemas.microsoft.com/office/excel/2006/main">
          <x14:cfRule type="beginsWith" priority="784" operator="beginsWith" text="RE" id="{2954EC55-E175-4047-80C7-2A92112410D0}">
            <xm:f>LEFT('Podnikatel (500)'!B64,LEN("RE"))="RE"</xm:f>
            <x14:dxf>
              <font>
                <color rgb="FF9C0006"/>
              </font>
              <fill>
                <patternFill>
                  <fgColor auto="1"/>
                  <bgColor theme="7" tint="0.79998168889431442"/>
                </patternFill>
              </fill>
            </x14:dxf>
          </x14:cfRule>
          <xm:sqref>B73</xm:sqref>
        </x14:conditionalFormatting>
        <x14:conditionalFormatting xmlns:xm="http://schemas.microsoft.com/office/excel/2006/main">
          <x14:cfRule type="expression" priority="30" id="{3397C7EF-151E-420F-A2FE-F94883EBE6B2}">
            <xm:f>'Podnikatel (500)'!$E$20="NERELEVANTNÍ"</xm:f>
            <x14:dxf>
              <font>
                <color auto="1"/>
              </font>
              <fill>
                <patternFill>
                  <bgColor theme="2"/>
                </patternFill>
              </fill>
            </x14:dxf>
          </x14:cfRule>
          <xm:sqref>F28:F30</xm:sqref>
        </x14:conditionalFormatting>
        <x14:conditionalFormatting xmlns:xm="http://schemas.microsoft.com/office/excel/2006/main">
          <x14:cfRule type="containsText" priority="510" operator="containsText" text="Ne" id="{D49CD05E-FB58-40F7-9FDB-9DC45B9CEE48}">
            <xm:f>NOT(ISERROR(SEARCH("Ne",'Podnikatel (500)'!E25)))</xm:f>
            <x14:dxf>
              <font>
                <color rgb="FF006100"/>
              </font>
              <fill>
                <patternFill>
                  <bgColor rgb="FFC6EFCE"/>
                </patternFill>
              </fill>
            </x14:dxf>
          </x14:cfRule>
          <x14:cfRule type="containsText" priority="511" operator="containsText" text="Ano" id="{C8681521-6CD2-4F4A-9D13-41D8EC67F6C9}">
            <xm:f>NOT(ISERROR(SEARCH("Ano",'Podnikatel (500)'!E25)))</xm:f>
            <x14:dxf>
              <font>
                <color rgb="FF9C0006"/>
              </font>
              <fill>
                <patternFill>
                  <bgColor rgb="FFFFC7CE"/>
                </patternFill>
              </fill>
            </x14:dxf>
          </x14:cfRule>
          <xm:sqref>F31 F38 F43 F48</xm:sqref>
        </x14:conditionalFormatting>
        <x14:conditionalFormatting xmlns:xm="http://schemas.microsoft.com/office/excel/2006/main">
          <x14:cfRule type="expression" priority="28" id="{44E0B4AF-D792-4C41-817B-1C4CD48990BC}">
            <xm:f>'Podnikatel (500)'!$E$27="NERELEVANTNÍ"</xm:f>
            <x14:dxf>
              <font>
                <color auto="1"/>
              </font>
              <fill>
                <patternFill>
                  <bgColor theme="2"/>
                </patternFill>
              </fill>
            </x14:dxf>
          </x14:cfRule>
          <xm:sqref>F35:F37</xm:sqref>
        </x14:conditionalFormatting>
        <x14:conditionalFormatting xmlns:xm="http://schemas.microsoft.com/office/excel/2006/main">
          <x14:cfRule type="containsText" priority="49" operator="containsText" text="Ano" id="{C8681521-6CD2-4F4A-9D13-41D8EC67F6C9}">
            <xm:f>NOT(ISERROR(SEARCH("Ano",'Podnikatel (500)'!E59)))</xm:f>
            <x14:dxf>
              <font>
                <color rgb="FF9C0006"/>
              </font>
              <fill>
                <patternFill>
                  <bgColor rgb="FFFFC7CE"/>
                </patternFill>
              </fill>
            </x14:dxf>
          </x14:cfRule>
          <x14:cfRule type="containsText" priority="48" operator="containsText" text="Ne" id="{D49CD05E-FB58-40F7-9FDB-9DC45B9CEE48}">
            <xm:f>NOT(ISERROR(SEARCH("Ne",'Podnikatel (500)'!E59)))</xm:f>
            <x14:dxf>
              <font>
                <color rgb="FF006100"/>
              </font>
              <fill>
                <patternFill>
                  <bgColor rgb="FFC6EFCE"/>
                </patternFill>
              </fill>
            </x14:dxf>
          </x14:cfRule>
          <xm:sqref>F67 F69</xm:sqref>
        </x14:conditionalFormatting>
        <x14:conditionalFormatting xmlns:xm="http://schemas.microsoft.com/office/excel/2006/main">
          <x14:cfRule type="beginsWith" priority="246" operator="beginsWith" text="RE" id="{4B5F30EE-DF5B-42BA-85A0-52E71ACE8EB0}">
            <xm:f>LEFT('Podnikatel (500)'!E2,LEN("RE"))="RE"</xm:f>
            <x14:dxf>
              <font>
                <color rgb="FF9C0006"/>
              </font>
              <fill>
                <patternFill>
                  <fgColor auto="1"/>
                  <bgColor theme="7" tint="0.79998168889431442"/>
                </patternFill>
              </fill>
            </x14:dxf>
          </x14:cfRule>
          <xm:sqref>F2:G6</xm:sqref>
        </x14:conditionalFormatting>
        <x14:conditionalFormatting xmlns:xm="http://schemas.microsoft.com/office/excel/2006/main">
          <x14:cfRule type="beginsWith" priority="420" operator="beginsWith" text="RE" id="{4B5F30EE-DF5B-42BA-85A0-52E71ACE8EB0}">
            <xm:f>LEFT('Podnikatel (500)'!E7,LEN("RE"))="RE"</xm:f>
            <x14:dxf>
              <font>
                <color rgb="FF9C0006"/>
              </font>
              <fill>
                <patternFill>
                  <fgColor auto="1"/>
                  <bgColor theme="7" tint="0.79998168889431442"/>
                </patternFill>
              </fill>
            </x14:dxf>
          </x14:cfRule>
          <xm:sqref>F8:G8</xm:sqref>
        </x14:conditionalFormatting>
        <x14:conditionalFormatting xmlns:xm="http://schemas.microsoft.com/office/excel/2006/main">
          <x14:cfRule type="beginsWith" priority="463" operator="beginsWith" text="RE" id="{4B5F30EE-DF5B-42BA-85A0-52E71ACE8EB0}">
            <xm:f>LEFT('Podnikatel (500)'!E8,LEN("RE"))="RE"</xm:f>
            <x14:dxf>
              <font>
                <color rgb="FF9C0006"/>
              </font>
              <fill>
                <patternFill>
                  <fgColor auto="1"/>
                  <bgColor theme="7" tint="0.79998168889431442"/>
                </patternFill>
              </fill>
            </x14:dxf>
          </x14:cfRule>
          <xm:sqref>F11:G11</xm:sqref>
        </x14:conditionalFormatting>
        <x14:conditionalFormatting xmlns:xm="http://schemas.microsoft.com/office/excel/2006/main">
          <x14:cfRule type="beginsWith" priority="509" operator="beginsWith" text="RE" id="{4B5F30EE-DF5B-42BA-85A0-52E71ACE8EB0}">
            <xm:f>LEFT('Podnikatel (500)'!E9,LEN("RE"))="RE"</xm:f>
            <x14:dxf>
              <font>
                <color rgb="FF9C0006"/>
              </font>
              <fill>
                <patternFill>
                  <fgColor auto="1"/>
                  <bgColor theme="7" tint="0.79998168889431442"/>
                </patternFill>
              </fill>
            </x14:dxf>
          </x14:cfRule>
          <xm:sqref>F13:G13</xm:sqref>
        </x14:conditionalFormatting>
        <x14:conditionalFormatting xmlns:xm="http://schemas.microsoft.com/office/excel/2006/main">
          <x14:cfRule type="beginsWith" priority="530" operator="beginsWith" text="RE" id="{4B5F30EE-DF5B-42BA-85A0-52E71ACE8EB0}">
            <xm:f>LEFT('Podnikatel (500)'!E10,LEN("RE"))="RE"</xm:f>
            <x14:dxf>
              <font>
                <color rgb="FF9C0006"/>
              </font>
              <fill>
                <patternFill>
                  <fgColor auto="1"/>
                  <bgColor theme="7" tint="0.79998168889431442"/>
                </patternFill>
              </fill>
            </x14:dxf>
          </x14:cfRule>
          <xm:sqref>F31:G33 F38:G40 F43:G52 F29:F30 F36:F37 F16:G21 F23:G23 F24 F25:G26 F27 G27:G28 F34 G34:G37 F41:F42 F53</xm:sqref>
        </x14:conditionalFormatting>
        <x14:conditionalFormatting xmlns:xm="http://schemas.microsoft.com/office/excel/2006/main">
          <x14:cfRule type="expression" priority="24" id="{C5E6C8EA-2F26-42C5-A76D-FDE465940C21}">
            <xm:f>'Podnikatel (500)'!$E$44="NERELEVANTNÍ"</xm:f>
            <x14:dxf>
              <font>
                <color auto="1"/>
              </font>
              <fill>
                <patternFill>
                  <bgColor theme="2"/>
                </patternFill>
              </fill>
            </x14:dxf>
          </x14:cfRule>
          <xm:sqref>F54:G55</xm:sqref>
        </x14:conditionalFormatting>
        <x14:conditionalFormatting xmlns:xm="http://schemas.microsoft.com/office/excel/2006/main">
          <x14:cfRule type="beginsWith" priority="541" operator="beginsWith" text="RE" id="{4B5F30EE-DF5B-42BA-85A0-52E71ACE8EB0}">
            <xm:f>LEFT('Podnikatel (500)'!E47,LEN("RE"))="RE"</xm:f>
            <x14:dxf>
              <font>
                <color rgb="FF9C0006"/>
              </font>
              <fill>
                <patternFill>
                  <fgColor auto="1"/>
                  <bgColor theme="7" tint="0.79998168889431442"/>
                </patternFill>
              </fill>
            </x14:dxf>
          </x14:cfRule>
          <xm:sqref>F55:G60 I54:I56</xm:sqref>
        </x14:conditionalFormatting>
        <x14:conditionalFormatting xmlns:xm="http://schemas.microsoft.com/office/excel/2006/main">
          <x14:cfRule type="expression" priority="22" id="{BD07195D-6173-45F3-A0E5-48E5A29387D6}">
            <xm:f>'Podnikatel (500)'!$E$44="NERELEVANTNÍ"</xm:f>
            <x14:dxf>
              <font>
                <color auto="1"/>
              </font>
              <fill>
                <patternFill>
                  <bgColor theme="2"/>
                </patternFill>
              </fill>
            </x14:dxf>
          </x14:cfRule>
          <xm:sqref>F61:G63</xm:sqref>
        </x14:conditionalFormatting>
        <x14:conditionalFormatting xmlns:xm="http://schemas.microsoft.com/office/excel/2006/main">
          <x14:cfRule type="beginsWith" priority="621" operator="beginsWith" text="RE" id="{2954EC55-E175-4047-80C7-2A92112410D0}">
            <xm:f>LEFT('Podnikatel (500)'!E53,LEN("RE"))="RE"</xm:f>
            <x14:dxf>
              <font>
                <color rgb="FF9C0006"/>
              </font>
              <fill>
                <patternFill>
                  <fgColor auto="1"/>
                  <bgColor theme="7" tint="0.79998168889431442"/>
                </patternFill>
              </fill>
            </x14:dxf>
          </x14:cfRule>
          <xm:sqref>F64:G69 F62:G62 I61:I63</xm:sqref>
        </x14:conditionalFormatting>
        <x14:conditionalFormatting xmlns:xm="http://schemas.microsoft.com/office/excel/2006/main">
          <x14:cfRule type="expression" priority="3" id="{CDA3643E-3AF3-4396-861F-F80C24E634FC}">
            <xm:f>Výpočty!$E$24</xm:f>
            <x14:dxf>
              <fill>
                <patternFill>
                  <bgColor theme="4" tint="0.79998168889431442"/>
                </patternFill>
              </fill>
            </x14:dxf>
          </x14:cfRule>
          <xm:sqref>G29:H30</xm:sqref>
        </x14:conditionalFormatting>
        <x14:conditionalFormatting xmlns:xm="http://schemas.microsoft.com/office/excel/2006/main">
          <x14:cfRule type="expression" priority="2" id="{5357BEBE-5433-4A36-8F69-A8CA837911E9}">
            <xm:f>Výpočty!$E$28</xm:f>
            <x14:dxf>
              <fill>
                <patternFill>
                  <bgColor theme="4" tint="0.79998168889431442"/>
                </patternFill>
              </fill>
            </x14:dxf>
          </x14:cfRule>
          <xm:sqref>G41:H42</xm:sqref>
        </x14:conditionalFormatting>
        <x14:conditionalFormatting xmlns:xm="http://schemas.microsoft.com/office/excel/2006/main">
          <x14:cfRule type="beginsWith" priority="748" operator="beginsWith" text="RE" id="{4B5F30EE-DF5B-42BA-85A0-52E71ACE8EB0}">
            <xm:f>LEFT('Podnikatel (500)'!F47,LEN("RE"))="RE"</xm:f>
            <x14:dxf>
              <font>
                <color rgb="FF9C0006"/>
              </font>
              <fill>
                <patternFill>
                  <fgColor auto="1"/>
                  <bgColor theme="7" tint="0.79998168889431442"/>
                </patternFill>
              </fill>
            </x14:dxf>
          </x14:cfRule>
          <xm:sqref>I53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'typy žadatelů'!$D$10:$D$26</xm:f>
          </x14:formula1>
          <xm:sqref>E20:G20</xm:sqref>
        </x14:dataValidation>
        <x14:dataValidation type="list" allowBlank="1" showErrorMessage="1" promptTitle="Vyberte" xr:uid="{00000000-0002-0000-0100-000001000000}">
          <x14:formula1>
            <xm:f>'typy žadatelů'!$B$78:$B$80</xm:f>
          </x14:formula1>
          <xm:sqref>F41:F42 F46:F47</xm:sqref>
        </x14:dataValidation>
        <x14:dataValidation type="list" allowBlank="1" showInputMessage="1" showErrorMessage="1" xr:uid="{00000000-0002-0000-0100-000002000000}">
          <x14:formula1>
            <xm:f>'typy žadatelů'!$B$78:$B$80</xm:f>
          </x14:formula1>
          <xm:sqref>E16:G19 E21:G21</xm:sqref>
        </x14:dataValidation>
        <x14:dataValidation type="list" allowBlank="1" showInputMessage="1" showErrorMessage="1" xr:uid="{00000000-0002-0000-0100-000003000000}">
          <x14:formula1>
            <xm:f>Výpočty!$B$22:$B$28</xm:f>
          </x14:formula1>
          <xm:sqref>E15:G15</xm:sqref>
        </x14:dataValidation>
        <x14:dataValidation type="list" allowBlank="1" showInputMessage="1" showErrorMessage="1" xr:uid="{00000000-0002-0000-0100-000004000000}">
          <x14:formula1>
            <xm:f>Výpočty!$B$35:$B$37</xm:f>
          </x14:formula1>
          <xm:sqref>E22:G22</xm:sqref>
        </x14:dataValidation>
        <x14:dataValidation type="list" allowBlank="1" showInputMessage="1" showErrorMessage="1" xr:uid="{00000000-0002-0000-0100-000005000000}">
          <x14:formula1>
            <xm:f>Výpočty!$B$7:$B$9</xm:f>
          </x14:formula1>
          <xm:sqref>E14:G14</xm:sqref>
        </x14:dataValidation>
        <x14:dataValidation type="list" allowBlank="1" showInputMessage="1" showErrorMessage="1" xr:uid="{00000000-0002-0000-0100-000006000000}">
          <x14:formula1>
            <xm:f>Výpočty!$B$12:$B$16</xm:f>
          </x14:formula1>
          <xm:sqref>E9:G9</xm:sqref>
        </x14:dataValidation>
        <x14:dataValidation type="list" allowBlank="1" showInputMessage="1" showErrorMessage="1" xr:uid="{00000000-0002-0000-0100-000007000000}">
          <x14:formula1>
            <xm:f>Výpočty!$B$18:$B$20</xm:f>
          </x14:formula1>
          <xm:sqref>E10:G10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N65"/>
  <sheetViews>
    <sheetView showGridLines="0" zoomScale="90" zoomScaleNormal="90" workbookViewId="0">
      <selection activeCell="E4" sqref="E4:G4"/>
    </sheetView>
  </sheetViews>
  <sheetFormatPr defaultColWidth="11" defaultRowHeight="14.25" x14ac:dyDescent="0.25"/>
  <cols>
    <col min="1" max="1" width="5" style="5" customWidth="1"/>
    <col min="2" max="2" width="32.625" style="21" customWidth="1"/>
    <col min="3" max="3" width="36.75" style="13" customWidth="1"/>
    <col min="4" max="4" width="11.625" style="13" customWidth="1"/>
    <col min="5" max="5" width="12.75" style="5" customWidth="1"/>
    <col min="6" max="6" width="18.375" style="5" customWidth="1"/>
    <col min="7" max="7" width="17.25" style="13" customWidth="1"/>
    <col min="8" max="8" width="5" style="12" customWidth="1"/>
    <col min="9" max="9" width="14.875" style="9" hidden="1" customWidth="1"/>
    <col min="10" max="11" width="0" style="9" hidden="1" customWidth="1"/>
    <col min="12" max="14" width="11" style="9"/>
    <col min="15" max="16384" width="11" style="5"/>
  </cols>
  <sheetData>
    <row r="1" spans="1:11" ht="20.25" customHeight="1" x14ac:dyDescent="0.25"/>
    <row r="2" spans="1:11" ht="24.75" customHeight="1" x14ac:dyDescent="0.25">
      <c r="B2" s="84" t="s">
        <v>413</v>
      </c>
      <c r="D2" s="47"/>
    </row>
    <row r="3" spans="1:11" ht="31.5" customHeight="1" thickBot="1" x14ac:dyDescent="0.3">
      <c r="B3" s="85" t="s">
        <v>491</v>
      </c>
    </row>
    <row r="4" spans="1:11" ht="24.75" customHeight="1" x14ac:dyDescent="0.25">
      <c r="A4" s="32" t="s">
        <v>74</v>
      </c>
      <c r="B4" s="421" t="s">
        <v>80</v>
      </c>
      <c r="C4" s="422"/>
      <c r="D4" s="422"/>
      <c r="E4" s="410"/>
      <c r="F4" s="411"/>
      <c r="G4" s="412"/>
      <c r="H4" s="48"/>
    </row>
    <row r="5" spans="1:11" ht="24.75" hidden="1" customHeight="1" x14ac:dyDescent="0.25">
      <c r="B5" s="137"/>
      <c r="C5" s="413" t="s">
        <v>0</v>
      </c>
      <c r="D5" s="413"/>
      <c r="E5" s="415"/>
      <c r="F5" s="416"/>
      <c r="G5" s="417"/>
      <c r="H5" s="86"/>
    </row>
    <row r="6" spans="1:11" ht="24.75" customHeight="1" x14ac:dyDescent="0.25">
      <c r="B6" s="424" t="s">
        <v>1</v>
      </c>
      <c r="C6" s="413"/>
      <c r="D6" s="413"/>
      <c r="E6" s="418"/>
      <c r="F6" s="419"/>
      <c r="G6" s="420"/>
      <c r="H6" s="86"/>
    </row>
    <row r="7" spans="1:11" ht="24.75" customHeight="1" x14ac:dyDescent="0.25">
      <c r="B7" s="424" t="s">
        <v>385</v>
      </c>
      <c r="C7" s="413"/>
      <c r="D7" s="413"/>
      <c r="E7" s="425"/>
      <c r="F7" s="426"/>
      <c r="G7" s="427"/>
      <c r="H7" s="87"/>
    </row>
    <row r="8" spans="1:11" ht="24.75" customHeight="1" x14ac:dyDescent="0.25">
      <c r="B8" s="424" t="str">
        <f>IF(E7="",Výpočty!B74,Výpočty!B77)</f>
        <v xml:space="preserve">Způsob podání daňového přiznání za účetní období: </v>
      </c>
      <c r="C8" s="413"/>
      <c r="D8" s="413"/>
      <c r="E8" s="475" t="s">
        <v>71</v>
      </c>
      <c r="F8" s="475"/>
      <c r="G8" s="476"/>
      <c r="H8" s="87"/>
    </row>
    <row r="9" spans="1:11" ht="24.75" customHeight="1" thickBot="1" x14ac:dyDescent="0.3">
      <c r="B9" s="461" t="str">
        <f>IF(E7="",Výpočty!B75,Výpočty!B78)</f>
        <v xml:space="preserve">Žadatel podal (tj. uzavřel) daňové přiznání za účetní období: </v>
      </c>
      <c r="C9" s="462"/>
      <c r="D9" s="462"/>
      <c r="E9" s="477" t="s">
        <v>71</v>
      </c>
      <c r="F9" s="477"/>
      <c r="G9" s="478"/>
      <c r="H9" s="87"/>
    </row>
    <row r="10" spans="1:11" ht="24.75" hidden="1" customHeight="1" x14ac:dyDescent="0.25">
      <c r="B10" s="5"/>
      <c r="C10" s="428" t="s">
        <v>392</v>
      </c>
      <c r="D10" s="429"/>
      <c r="E10" s="430" t="str">
        <f>Výpočty!D70</f>
        <v/>
      </c>
      <c r="F10" s="430"/>
      <c r="G10" s="430"/>
      <c r="H10" s="88"/>
    </row>
    <row r="11" spans="1:11" ht="24.75" hidden="1" customHeight="1" thickBot="1" x14ac:dyDescent="0.3">
      <c r="B11" s="5"/>
      <c r="C11" s="437" t="s">
        <v>393</v>
      </c>
      <c r="D11" s="438"/>
      <c r="E11" s="482" t="str">
        <f>IF(E10="","",I11)</f>
        <v/>
      </c>
      <c r="F11" s="483"/>
      <c r="G11" s="484"/>
      <c r="H11" s="88"/>
      <c r="I11" s="479" t="str">
        <f>IF(E9="Ano",E10,IF(E9="Vyberte variantu",E10,E10-1))</f>
        <v/>
      </c>
      <c r="J11" s="480"/>
      <c r="K11" s="481"/>
    </row>
    <row r="12" spans="1:11" ht="7.5" customHeight="1" thickBot="1" x14ac:dyDescent="0.3">
      <c r="C12" s="474"/>
      <c r="D12" s="474"/>
      <c r="E12" s="474"/>
      <c r="F12" s="474"/>
      <c r="G12" s="474"/>
      <c r="H12" s="89"/>
    </row>
    <row r="13" spans="1:11" ht="24.75" customHeight="1" x14ac:dyDescent="0.25">
      <c r="B13" s="421" t="s">
        <v>359</v>
      </c>
      <c r="C13" s="422"/>
      <c r="D13" s="422"/>
      <c r="E13" s="411" t="s">
        <v>71</v>
      </c>
      <c r="F13" s="411"/>
      <c r="G13" s="412"/>
      <c r="H13" s="48"/>
    </row>
    <row r="14" spans="1:11" ht="24.75" customHeight="1" x14ac:dyDescent="0.25">
      <c r="B14" s="459" t="s">
        <v>256</v>
      </c>
      <c r="C14" s="460"/>
      <c r="D14" s="460"/>
      <c r="E14" s="416" t="s">
        <v>71</v>
      </c>
      <c r="F14" s="416"/>
      <c r="G14" s="417"/>
      <c r="H14" s="90"/>
    </row>
    <row r="15" spans="1:11" ht="50.25" customHeight="1" x14ac:dyDescent="0.25">
      <c r="B15" s="424" t="s">
        <v>343</v>
      </c>
      <c r="C15" s="413"/>
      <c r="D15" s="413"/>
      <c r="E15" s="416" t="s">
        <v>71</v>
      </c>
      <c r="F15" s="416"/>
      <c r="G15" s="417"/>
      <c r="H15" s="90"/>
    </row>
    <row r="16" spans="1:11" ht="24.75" hidden="1" customHeight="1" x14ac:dyDescent="0.25">
      <c r="B16" s="137"/>
      <c r="C16" s="413" t="s">
        <v>79</v>
      </c>
      <c r="D16" s="413"/>
      <c r="E16" s="416" t="s">
        <v>177</v>
      </c>
      <c r="F16" s="416"/>
      <c r="G16" s="417"/>
      <c r="H16" s="90"/>
    </row>
    <row r="17" spans="1:8" ht="24.75" hidden="1" customHeight="1" x14ac:dyDescent="0.25">
      <c r="B17" s="137"/>
      <c r="C17" s="413" t="s">
        <v>248</v>
      </c>
      <c r="D17" s="413"/>
      <c r="E17" s="416" t="s">
        <v>71</v>
      </c>
      <c r="F17" s="416"/>
      <c r="G17" s="417"/>
      <c r="H17" s="90"/>
    </row>
    <row r="18" spans="1:8" ht="24.75" customHeight="1" thickBot="1" x14ac:dyDescent="0.3">
      <c r="B18" s="461" t="s">
        <v>345</v>
      </c>
      <c r="C18" s="462"/>
      <c r="D18" s="462"/>
      <c r="E18" s="433" t="s">
        <v>71</v>
      </c>
      <c r="F18" s="433"/>
      <c r="G18" s="434"/>
      <c r="H18" s="90"/>
    </row>
    <row r="19" spans="1:8" ht="31.5" customHeight="1" thickBot="1" x14ac:dyDescent="0.3">
      <c r="H19" s="90"/>
    </row>
    <row r="20" spans="1:8" ht="36" customHeight="1" thickBot="1" x14ac:dyDescent="0.3">
      <c r="A20" s="32" t="s">
        <v>75</v>
      </c>
      <c r="B20" s="485" t="s">
        <v>90</v>
      </c>
      <c r="C20" s="486"/>
      <c r="D20" s="486"/>
      <c r="E20" s="440" t="b">
        <f>IF(AND(E13="Ano",E14="Ano"),"kritéria C,D",IF(AND(E13="Ano",E14="Ne",E15="Ne"),"kritéria C,D",IF(AND(E13="Ano",E14="Ne",E15="Ano"),"kritéria B,C,D",IF(AND(E13="NE",E15="Ne"),"kritéria C,D,E",IF(AND(E13="NE",E15="Ano"),"kritéria B,C,D,E")))))</f>
        <v>0</v>
      </c>
      <c r="F20" s="441"/>
      <c r="G20" s="442" t="s">
        <v>418</v>
      </c>
      <c r="H20" s="490"/>
    </row>
    <row r="21" spans="1:8" ht="16.5" customHeight="1" thickBot="1" x14ac:dyDescent="0.3"/>
    <row r="22" spans="1:8" s="9" customFormat="1" ht="18" customHeight="1" x14ac:dyDescent="0.25">
      <c r="B22" s="457" t="s">
        <v>110</v>
      </c>
      <c r="C22" s="458"/>
      <c r="D22" s="403" t="s">
        <v>61</v>
      </c>
      <c r="E22" s="403" t="s">
        <v>64</v>
      </c>
      <c r="F22" s="28" t="str">
        <f>IF(OR(E20="kritéria B,C,D,E",E20="kritéria B,C,D"),"RELEVANTNÍ","NERELEVANTNÍ")</f>
        <v>NERELEVANTNÍ</v>
      </c>
      <c r="G22" s="13"/>
      <c r="H22" s="12"/>
    </row>
    <row r="23" spans="1:8" s="9" customFormat="1" ht="18" customHeight="1" x14ac:dyDescent="0.25">
      <c r="B23" s="459"/>
      <c r="C23" s="460"/>
      <c r="D23" s="404"/>
      <c r="E23" s="404"/>
      <c r="F23" s="33" t="str">
        <f>"Rok N  "&amp; IF($E$11&gt;1,$E$11,"")</f>
        <v xml:space="preserve">Rok N  </v>
      </c>
      <c r="G23" s="13"/>
      <c r="H23" s="12"/>
    </row>
    <row r="24" spans="1:8" s="9" customFormat="1" ht="27.75" customHeight="1" x14ac:dyDescent="0.25">
      <c r="B24" s="407" t="s">
        <v>15</v>
      </c>
      <c r="C24" s="408"/>
      <c r="D24" s="19" t="s">
        <v>91</v>
      </c>
      <c r="E24" s="20" t="s">
        <v>93</v>
      </c>
      <c r="F24" s="2"/>
      <c r="G24" s="13"/>
      <c r="H24" s="12"/>
    </row>
    <row r="25" spans="1:8" s="9" customFormat="1" ht="51.75" customHeight="1" x14ac:dyDescent="0.25">
      <c r="B25" s="407" t="s">
        <v>174</v>
      </c>
      <c r="C25" s="408"/>
      <c r="D25" s="19" t="s">
        <v>92</v>
      </c>
      <c r="E25" s="20" t="s">
        <v>96</v>
      </c>
      <c r="F25" s="2"/>
      <c r="G25" s="13"/>
      <c r="H25" s="12"/>
    </row>
    <row r="26" spans="1:8" s="9" customFormat="1" ht="27.75" customHeight="1" x14ac:dyDescent="0.25">
      <c r="B26" s="407" t="s">
        <v>12</v>
      </c>
      <c r="C26" s="408"/>
      <c r="D26" s="19" t="s">
        <v>92</v>
      </c>
      <c r="E26" s="20" t="s">
        <v>96</v>
      </c>
      <c r="F26" s="2"/>
      <c r="G26" s="13"/>
      <c r="H26" s="12"/>
    </row>
    <row r="27" spans="1:8" s="9" customFormat="1" ht="24.75" customHeight="1" thickBot="1" x14ac:dyDescent="0.3">
      <c r="B27" s="448" t="s">
        <v>17</v>
      </c>
      <c r="C27" s="449"/>
      <c r="D27" s="449"/>
      <c r="E27" s="449"/>
      <c r="F27" s="25" t="str">
        <f>IF(AND((F25+F26)&gt;0,F24&gt;0),"Ne",(IF((ABS(F25+F26))&gt;((F24-(F25+F26))/2),"Ano","Ne")))</f>
        <v>Ne</v>
      </c>
      <c r="G27" s="13"/>
      <c r="H27" s="12"/>
    </row>
    <row r="28" spans="1:8" s="9" customFormat="1" ht="16.5" customHeight="1" thickBot="1" x14ac:dyDescent="0.3">
      <c r="B28" s="21"/>
      <c r="C28" s="12"/>
      <c r="D28" s="12"/>
      <c r="F28" s="5"/>
      <c r="G28" s="13"/>
      <c r="H28" s="12"/>
    </row>
    <row r="29" spans="1:8" s="9" customFormat="1" ht="36" customHeight="1" x14ac:dyDescent="0.25">
      <c r="B29" s="457" t="s">
        <v>102</v>
      </c>
      <c r="C29" s="458"/>
      <c r="D29" s="403" t="s">
        <v>61</v>
      </c>
      <c r="E29" s="403"/>
      <c r="F29" s="28" t="s">
        <v>46</v>
      </c>
      <c r="G29" s="13"/>
      <c r="H29" s="12"/>
    </row>
    <row r="30" spans="1:8" s="9" customFormat="1" ht="27.75" customHeight="1" x14ac:dyDescent="0.25">
      <c r="B30" s="407" t="s">
        <v>18</v>
      </c>
      <c r="C30" s="408"/>
      <c r="D30" s="447" t="s">
        <v>63</v>
      </c>
      <c r="E30" s="447"/>
      <c r="F30" s="3" t="s">
        <v>71</v>
      </c>
      <c r="G30"/>
      <c r="H30"/>
    </row>
    <row r="31" spans="1:8" s="9" customFormat="1" ht="27.75" customHeight="1" x14ac:dyDescent="0.25">
      <c r="B31" s="407" t="s">
        <v>175</v>
      </c>
      <c r="C31" s="408"/>
      <c r="D31" s="447" t="s">
        <v>69</v>
      </c>
      <c r="E31" s="447"/>
      <c r="F31" s="3" t="s">
        <v>71</v>
      </c>
      <c r="G31"/>
      <c r="H31"/>
    </row>
    <row r="32" spans="1:8" s="9" customFormat="1" ht="24.75" customHeight="1" thickBot="1" x14ac:dyDescent="0.3">
      <c r="B32" s="448" t="s">
        <v>19</v>
      </c>
      <c r="C32" s="449"/>
      <c r="D32" s="449"/>
      <c r="E32" s="449"/>
      <c r="F32" s="25" t="str">
        <f>IF(OR(F30="Ano",F31="Ano"),"Ano","Ne")</f>
        <v>Ne</v>
      </c>
      <c r="G32" s="13"/>
      <c r="H32" s="12"/>
    </row>
    <row r="33" spans="2:9" s="9" customFormat="1" ht="16.5" customHeight="1" thickBot="1" x14ac:dyDescent="0.3">
      <c r="B33" s="21"/>
      <c r="C33" s="12"/>
      <c r="D33" s="12"/>
      <c r="F33" s="5"/>
      <c r="G33" s="13"/>
      <c r="H33" s="12"/>
    </row>
    <row r="34" spans="2:9" s="9" customFormat="1" ht="36" customHeight="1" x14ac:dyDescent="0.25">
      <c r="B34" s="457" t="s">
        <v>103</v>
      </c>
      <c r="C34" s="458"/>
      <c r="D34" s="403" t="s">
        <v>61</v>
      </c>
      <c r="E34" s="403"/>
      <c r="F34" s="28" t="s">
        <v>46</v>
      </c>
      <c r="G34" s="13"/>
      <c r="H34" s="12"/>
    </row>
    <row r="35" spans="2:9" s="9" customFormat="1" ht="30" customHeight="1" x14ac:dyDescent="0.25">
      <c r="B35" s="407" t="s">
        <v>517</v>
      </c>
      <c r="C35" s="408"/>
      <c r="D35" s="447" t="s">
        <v>69</v>
      </c>
      <c r="E35" s="447"/>
      <c r="F35" s="3" t="s">
        <v>71</v>
      </c>
      <c r="G35" s="303"/>
      <c r="H35" s="12"/>
    </row>
    <row r="36" spans="2:9" s="9" customFormat="1" ht="30" customHeight="1" x14ac:dyDescent="0.25">
      <c r="B36" s="407" t="s">
        <v>176</v>
      </c>
      <c r="C36" s="408"/>
      <c r="D36" s="447" t="s">
        <v>69</v>
      </c>
      <c r="E36" s="447"/>
      <c r="F36" s="3" t="s">
        <v>71</v>
      </c>
      <c r="G36" s="13"/>
      <c r="H36" s="12"/>
    </row>
    <row r="37" spans="2:9" s="9" customFormat="1" ht="24.75" customHeight="1" thickBot="1" x14ac:dyDescent="0.3">
      <c r="B37" s="448" t="s">
        <v>20</v>
      </c>
      <c r="C37" s="449"/>
      <c r="D37" s="449"/>
      <c r="E37" s="449"/>
      <c r="F37" s="25" t="str">
        <f>IF(OR(F35="Ano",F36="Ano"),"Ano","Ne")</f>
        <v>Ne</v>
      </c>
      <c r="G37" s="13"/>
      <c r="H37" s="12"/>
    </row>
    <row r="38" spans="2:9" s="9" customFormat="1" ht="16.5" customHeight="1" thickBot="1" x14ac:dyDescent="0.3">
      <c r="B38" s="21"/>
      <c r="C38" s="12"/>
      <c r="D38" s="12"/>
      <c r="F38" s="5"/>
      <c r="G38" s="13"/>
      <c r="H38" s="12"/>
    </row>
    <row r="39" spans="2:9" s="9" customFormat="1" ht="36" customHeight="1" thickBot="1" x14ac:dyDescent="0.3">
      <c r="B39" s="487" t="s">
        <v>104</v>
      </c>
      <c r="C39" s="488"/>
      <c r="D39" s="488"/>
      <c r="E39" s="488"/>
      <c r="F39" s="26" t="str">
        <f>IF(OR(E20="kritéria A,C,D,E",E20="kritéria B,C,D,E"),"RELEVANTNÍ","NERELEVANTNÍ")</f>
        <v>NERELEVANTNÍ</v>
      </c>
      <c r="G39" s="17"/>
      <c r="H39" s="8"/>
    </row>
    <row r="40" spans="2:9" s="9" customFormat="1" ht="7.5" customHeight="1" thickBot="1" x14ac:dyDescent="0.3">
      <c r="B40" s="21"/>
      <c r="C40" s="12"/>
      <c r="D40" s="12"/>
      <c r="F40" s="21"/>
      <c r="G40" s="21"/>
      <c r="H40" s="8"/>
    </row>
    <row r="41" spans="2:9" s="9" customFormat="1" ht="18.75" customHeight="1" x14ac:dyDescent="0.25">
      <c r="B41" s="457" t="s">
        <v>105</v>
      </c>
      <c r="C41" s="458"/>
      <c r="D41" s="403" t="s">
        <v>61</v>
      </c>
      <c r="E41" s="405" t="s">
        <v>98</v>
      </c>
      <c r="F41" s="130" t="s">
        <v>404</v>
      </c>
      <c r="G41" s="131" t="s">
        <v>407</v>
      </c>
      <c r="H41" s="8"/>
    </row>
    <row r="42" spans="2:9" s="9" customFormat="1" ht="18.75" customHeight="1" x14ac:dyDescent="0.25">
      <c r="B42" s="459"/>
      <c r="C42" s="460"/>
      <c r="D42" s="404"/>
      <c r="E42" s="406"/>
      <c r="F42" s="132" t="str">
        <f>IF($E$11&gt;1,$E$11,"")</f>
        <v/>
      </c>
      <c r="G42" s="304" t="str">
        <f>IF(I42="","",I42-1)</f>
        <v/>
      </c>
      <c r="H42" s="8"/>
      <c r="I42" s="133" t="str">
        <f>IF($E$11&gt;1,$E$11,"")</f>
        <v/>
      </c>
    </row>
    <row r="43" spans="2:9" s="9" customFormat="1" ht="27.75" customHeight="1" x14ac:dyDescent="0.25">
      <c r="B43" s="407" t="s">
        <v>15</v>
      </c>
      <c r="C43" s="408"/>
      <c r="D43" s="19" t="s">
        <v>91</v>
      </c>
      <c r="E43" s="20" t="s">
        <v>93</v>
      </c>
      <c r="F43" s="1"/>
      <c r="G43" s="2"/>
      <c r="H43" s="8"/>
    </row>
    <row r="44" spans="2:9" s="9" customFormat="1" ht="27.75" customHeight="1" x14ac:dyDescent="0.25">
      <c r="B44" s="407" t="s">
        <v>99</v>
      </c>
      <c r="C44" s="408"/>
      <c r="D44" s="19" t="s">
        <v>91</v>
      </c>
      <c r="E44" s="20" t="s">
        <v>97</v>
      </c>
      <c r="F44" s="1"/>
      <c r="G44" s="2"/>
      <c r="H44" s="8"/>
    </row>
    <row r="45" spans="2:9" s="9" customFormat="1" ht="27.75" customHeight="1" x14ac:dyDescent="0.25">
      <c r="B45" s="407" t="s">
        <v>88</v>
      </c>
      <c r="C45" s="408"/>
      <c r="D45" s="408"/>
      <c r="E45" s="408"/>
      <c r="F45" s="6" t="str">
        <f>IF((F43)=0,"NR",(F44/F43))</f>
        <v>NR</v>
      </c>
      <c r="G45" s="7" t="str">
        <f>IF((G43)=0,"NR",(G44/G43))</f>
        <v>NR</v>
      </c>
      <c r="H45" s="8"/>
    </row>
    <row r="46" spans="2:9" s="9" customFormat="1" ht="24.75" customHeight="1" thickBot="1" x14ac:dyDescent="0.3">
      <c r="B46" s="448" t="s">
        <v>22</v>
      </c>
      <c r="C46" s="449"/>
      <c r="D46" s="449"/>
      <c r="E46" s="449"/>
      <c r="F46" s="10" t="str">
        <f>IF((F43)="0","Ano",IF((F45)&lt;0,"Chyba",IF(F45&gt;7.5,"Ano","Ne")))</f>
        <v>Ano</v>
      </c>
      <c r="G46" s="11" t="str">
        <f>IF((G43)="0","Ano",IF((G45)&lt;0,"Chyba",IF(G45&gt;7.5,"Ano","Ne")))</f>
        <v>Ano</v>
      </c>
      <c r="H46" s="8"/>
    </row>
    <row r="47" spans="2:9" s="9" customFormat="1" ht="7.5" customHeight="1" thickBot="1" x14ac:dyDescent="0.3">
      <c r="B47" s="21"/>
      <c r="C47" s="12"/>
      <c r="D47" s="12"/>
      <c r="F47" s="21"/>
      <c r="G47" s="21"/>
      <c r="H47" s="8"/>
    </row>
    <row r="48" spans="2:9" s="9" customFormat="1" ht="18" customHeight="1" x14ac:dyDescent="0.25">
      <c r="B48" s="457" t="s">
        <v>106</v>
      </c>
      <c r="C48" s="458"/>
      <c r="D48" s="403" t="s">
        <v>61</v>
      </c>
      <c r="E48" s="405" t="s">
        <v>98</v>
      </c>
      <c r="F48" s="130" t="s">
        <v>404</v>
      </c>
      <c r="G48" s="131" t="s">
        <v>407</v>
      </c>
      <c r="H48" s="8"/>
    </row>
    <row r="49" spans="2:8" s="9" customFormat="1" ht="18.75" customHeight="1" x14ac:dyDescent="0.25">
      <c r="B49" s="459"/>
      <c r="C49" s="460"/>
      <c r="D49" s="404"/>
      <c r="E49" s="406"/>
      <c r="F49" s="132" t="str">
        <f>F42</f>
        <v/>
      </c>
      <c r="G49" s="133" t="str">
        <f>G42</f>
        <v/>
      </c>
      <c r="H49" s="8"/>
    </row>
    <row r="50" spans="2:8" s="9" customFormat="1" ht="27.75" customHeight="1" x14ac:dyDescent="0.25">
      <c r="B50" s="407" t="s">
        <v>23</v>
      </c>
      <c r="C50" s="408"/>
      <c r="D50" s="19"/>
      <c r="E50" s="20"/>
      <c r="F50" s="1"/>
      <c r="G50" s="2"/>
      <c r="H50" s="8"/>
    </row>
    <row r="51" spans="2:8" s="9" customFormat="1" ht="27.75" customHeight="1" x14ac:dyDescent="0.25">
      <c r="B51" s="407" t="s">
        <v>25</v>
      </c>
      <c r="C51" s="408"/>
      <c r="D51" s="489" t="s">
        <v>109</v>
      </c>
      <c r="E51" s="489"/>
      <c r="F51" s="1"/>
      <c r="G51" s="2"/>
      <c r="H51" s="8"/>
    </row>
    <row r="52" spans="2:8" s="9" customFormat="1" ht="27.75" customHeight="1" x14ac:dyDescent="0.25">
      <c r="B52" s="407" t="s">
        <v>27</v>
      </c>
      <c r="C52" s="408"/>
      <c r="D52" s="19" t="s">
        <v>92</v>
      </c>
      <c r="E52" s="20" t="s">
        <v>96</v>
      </c>
      <c r="F52" s="1"/>
      <c r="G52" s="2"/>
      <c r="H52" s="8"/>
    </row>
    <row r="53" spans="2:8" s="9" customFormat="1" ht="27.75" customHeight="1" x14ac:dyDescent="0.25">
      <c r="B53" s="407" t="s">
        <v>89</v>
      </c>
      <c r="C53" s="408"/>
      <c r="D53" s="408"/>
      <c r="E53" s="408"/>
      <c r="F53" s="6" t="str">
        <f>IF(F51=0,"NR",(F50+F51+F52)/F51)</f>
        <v>NR</v>
      </c>
      <c r="G53" s="7" t="str">
        <f>IF(G51=0,"NR",(G50+G51+G52)/G51)</f>
        <v>NR</v>
      </c>
      <c r="H53" s="8"/>
    </row>
    <row r="54" spans="2:8" s="9" customFormat="1" ht="24.75" customHeight="1" thickBot="1" x14ac:dyDescent="0.3">
      <c r="B54" s="448" t="s">
        <v>107</v>
      </c>
      <c r="C54" s="449"/>
      <c r="D54" s="449"/>
      <c r="E54" s="449"/>
      <c r="F54" s="10" t="str">
        <f>IF((F53)="NR","NR",IF((F53)&lt;1,"Ano","Ne"))</f>
        <v>NR</v>
      </c>
      <c r="G54" s="11" t="str">
        <f>IF((G53)="NR","NR",IF((G53)&lt;1,"Ano","Ne"))</f>
        <v>NR</v>
      </c>
      <c r="H54" s="8"/>
    </row>
    <row r="55" spans="2:8" ht="6.75" customHeight="1" thickBot="1" x14ac:dyDescent="0.3">
      <c r="B55" s="236"/>
      <c r="C55" s="239"/>
      <c r="D55" s="239"/>
      <c r="E55" s="240"/>
    </row>
    <row r="56" spans="2:8" s="9" customFormat="1" ht="25.5" customHeight="1" thickBot="1" x14ac:dyDescent="0.3">
      <c r="B56" s="491" t="s">
        <v>29</v>
      </c>
      <c r="C56" s="492"/>
      <c r="D56" s="492"/>
      <c r="E56" s="492"/>
      <c r="F56" s="14" t="str">
        <f>IF(AND(F46="ANO",G46="Ano",F54="Ano",G54="Ano"),"Ano","Ne")</f>
        <v>Ne</v>
      </c>
      <c r="G56" s="13"/>
      <c r="H56" s="15"/>
    </row>
    <row r="57" spans="2:8" s="9" customFormat="1" ht="22.5" customHeight="1" thickBot="1" x14ac:dyDescent="0.3">
      <c r="B57" s="21"/>
      <c r="C57" s="12"/>
      <c r="D57" s="12"/>
      <c r="F57" s="5"/>
      <c r="G57" s="13"/>
      <c r="H57" s="12"/>
    </row>
    <row r="58" spans="2:8" s="9" customFormat="1" ht="56.25" customHeight="1" thickBot="1" x14ac:dyDescent="0.3">
      <c r="B58" s="465" t="s">
        <v>108</v>
      </c>
      <c r="C58" s="466"/>
      <c r="D58" s="466"/>
      <c r="E58" s="467"/>
      <c r="F58" s="16" t="str">
        <f>IF(OR(F27="Ano",F32="Ano",F37="Ano",F56="Ano"),"Ano","Ne")</f>
        <v>Ne</v>
      </c>
      <c r="G58" s="302" t="s">
        <v>416</v>
      </c>
      <c r="H58" s="91"/>
    </row>
    <row r="60" spans="2:8" ht="15" x14ac:dyDescent="0.25">
      <c r="B60" s="368" t="str">
        <f>IF(F58="Ano","Výsledek testu je pozitivní (žadatel je podnikem v obtížích). Nepokračujte v testu dále, žadateli nelze poskytnout podporu!","")</f>
        <v/>
      </c>
    </row>
    <row r="61" spans="2:8" ht="4.5" customHeight="1" x14ac:dyDescent="0.25">
      <c r="B61" s="134"/>
    </row>
    <row r="62" spans="2:8" ht="15.75" x14ac:dyDescent="0.25">
      <c r="B62" s="134" t="str">
        <f>IF(F58="Ano","","Krok 5: Kliknutím na níže uvedené pole dojde k přesměrování na list Skupina podniků")</f>
        <v>Krok 5: Kliknutím na níže uvedené pole dojde k přesměrování na list Skupina podniků</v>
      </c>
      <c r="C62"/>
    </row>
    <row r="63" spans="2:8" ht="7.5" customHeight="1" x14ac:dyDescent="0.25">
      <c r="B63"/>
      <c r="C63"/>
    </row>
    <row r="64" spans="2:8" ht="15.75" x14ac:dyDescent="0.25">
      <c r="B64" s="402" t="s">
        <v>417</v>
      </c>
      <c r="C64"/>
    </row>
    <row r="65" spans="2:3" ht="15.75" x14ac:dyDescent="0.25">
      <c r="B65" s="402"/>
      <c r="C65"/>
    </row>
  </sheetData>
  <sheetProtection algorithmName="SHA-512" hashValue="HSZ6svG3aQQ2ZFHyOs3nPYrk37jKcV1YmR40ejvUFMFi29/2yR8CxDZVstICL+3I3HplmtWOblNcwpoWNZNw4Q==" saltValue="rtKdf63OFKle6ruT5TQddA==" spinCount="100000" sheet="1" selectLockedCells="1"/>
  <mergeCells count="74">
    <mergeCell ref="B58:E58"/>
    <mergeCell ref="B64:B65"/>
    <mergeCell ref="G20:H20"/>
    <mergeCell ref="B51:C51"/>
    <mergeCell ref="B52:C52"/>
    <mergeCell ref="B53:E53"/>
    <mergeCell ref="B54:E54"/>
    <mergeCell ref="B56:E56"/>
    <mergeCell ref="B44:C44"/>
    <mergeCell ref="B45:E45"/>
    <mergeCell ref="B46:E46"/>
    <mergeCell ref="B48:C49"/>
    <mergeCell ref="B50:C50"/>
    <mergeCell ref="B35:C35"/>
    <mergeCell ref="B36:C36"/>
    <mergeCell ref="B37:E37"/>
    <mergeCell ref="B29:C29"/>
    <mergeCell ref="B30:C30"/>
    <mergeCell ref="B31:C31"/>
    <mergeCell ref="B32:E32"/>
    <mergeCell ref="B34:C34"/>
    <mergeCell ref="D51:E51"/>
    <mergeCell ref="D41:D42"/>
    <mergeCell ref="E41:E42"/>
    <mergeCell ref="E48:E49"/>
    <mergeCell ref="D48:D49"/>
    <mergeCell ref="B43:C43"/>
    <mergeCell ref="D36:E36"/>
    <mergeCell ref="D22:D23"/>
    <mergeCell ref="E22:E23"/>
    <mergeCell ref="D29:E29"/>
    <mergeCell ref="D30:E30"/>
    <mergeCell ref="D31:E31"/>
    <mergeCell ref="D34:E34"/>
    <mergeCell ref="D35:E35"/>
    <mergeCell ref="B22:C23"/>
    <mergeCell ref="B24:C24"/>
    <mergeCell ref="B25:C25"/>
    <mergeCell ref="B26:C26"/>
    <mergeCell ref="B27:E27"/>
    <mergeCell ref="B39:E39"/>
    <mergeCell ref="B41:C42"/>
    <mergeCell ref="E20:F20"/>
    <mergeCell ref="E14:G14"/>
    <mergeCell ref="E15:G15"/>
    <mergeCell ref="C16:D16"/>
    <mergeCell ref="E16:G16"/>
    <mergeCell ref="E18:G18"/>
    <mergeCell ref="B14:D14"/>
    <mergeCell ref="B15:D15"/>
    <mergeCell ref="B18:D18"/>
    <mergeCell ref="B20:D20"/>
    <mergeCell ref="I11:K11"/>
    <mergeCell ref="C10:D10"/>
    <mergeCell ref="C11:D11"/>
    <mergeCell ref="E11:G11"/>
    <mergeCell ref="C17:D17"/>
    <mergeCell ref="E17:G17"/>
    <mergeCell ref="E7:G7"/>
    <mergeCell ref="E10:G10"/>
    <mergeCell ref="E13:G13"/>
    <mergeCell ref="C12:G12"/>
    <mergeCell ref="B7:D7"/>
    <mergeCell ref="B13:D13"/>
    <mergeCell ref="E8:G8"/>
    <mergeCell ref="B8:D8"/>
    <mergeCell ref="B9:D9"/>
    <mergeCell ref="E9:G9"/>
    <mergeCell ref="E4:G4"/>
    <mergeCell ref="C5:D5"/>
    <mergeCell ref="E5:G5"/>
    <mergeCell ref="E6:G6"/>
    <mergeCell ref="B4:D4"/>
    <mergeCell ref="B6:D6"/>
  </mergeCells>
  <conditionalFormatting sqref="B1:B3 A4 B5 B12 B16:B17 B19 A20 B21 B28">
    <cfRule type="beginsWith" dxfId="339" priority="34" operator="beginsWith" text="RE">
      <formula>LEFT(A1,LEN("RE"))="RE"</formula>
    </cfRule>
    <cfRule type="containsText" dxfId="338" priority="35" operator="containsText" text="&quot;RELEVANTNÍ&quot;">
      <formula>NOT(ISERROR(SEARCH("""RELEVANTNÍ""",A1)))</formula>
    </cfRule>
  </conditionalFormatting>
  <conditionalFormatting sqref="B33">
    <cfRule type="beginsWith" dxfId="337" priority="53" operator="beginsWith" text="RE">
      <formula>LEFT(B33,LEN("RE"))="RE"</formula>
    </cfRule>
    <cfRule type="containsText" dxfId="336" priority="54" operator="containsText" text="&quot;RELEVANTNÍ&quot;">
      <formula>NOT(ISERROR(SEARCH("""RELEVANTNÍ""",B33)))</formula>
    </cfRule>
  </conditionalFormatting>
  <conditionalFormatting sqref="B38 B40 B47 B55 B57 B59:B61 B66:B1048576">
    <cfRule type="beginsWith" dxfId="335" priority="21" operator="beginsWith" text="RE">
      <formula>LEFT(B38,LEN("RE"))="RE"</formula>
    </cfRule>
    <cfRule type="containsText" dxfId="334" priority="22" operator="containsText" text="&quot;RELEVANTNÍ&quot;">
      <formula>NOT(ISERROR(SEARCH("""RELEVANTNÍ""",B38)))</formula>
    </cfRule>
  </conditionalFormatting>
  <conditionalFormatting sqref="F23 F32:G41 F42 I42:I45 F59:G1048576">
    <cfRule type="beginsWith" dxfId="331" priority="9" operator="beginsWith" text="RE">
      <formula>LEFT(F23,LEN("RE"))="RE"</formula>
    </cfRule>
  </conditionalFormatting>
  <conditionalFormatting sqref="F24:F26">
    <cfRule type="expression" dxfId="330" priority="29">
      <formula>$F$22="NERELEVANTNÍ"</formula>
    </cfRule>
  </conditionalFormatting>
  <conditionalFormatting sqref="F25:F26">
    <cfRule type="beginsWith" dxfId="329" priority="30" operator="beginsWith" text="RE">
      <formula>LEFT(F25,LEN("RE"))="RE"</formula>
    </cfRule>
  </conditionalFormatting>
  <conditionalFormatting sqref="F27 F32 F37 F56">
    <cfRule type="containsText" dxfId="328" priority="58" operator="containsText" text="Ano">
      <formula>NOT(ISERROR(SEARCH("Ano",F27)))</formula>
    </cfRule>
  </conditionalFormatting>
  <conditionalFormatting sqref="F27 F56 F32 F37">
    <cfRule type="containsText" dxfId="327" priority="57" operator="containsText" text="Ne">
      <formula>NOT(ISERROR(SEARCH("Ne",F27)))</formula>
    </cfRule>
  </conditionalFormatting>
  <conditionalFormatting sqref="F30:F31">
    <cfRule type="beginsWith" dxfId="326" priority="12" operator="beginsWith" text="RE">
      <formula>LEFT(F30,LEN("RE"))="RE"</formula>
    </cfRule>
  </conditionalFormatting>
  <conditionalFormatting sqref="F58">
    <cfRule type="beginsWith" dxfId="325" priority="17" operator="beginsWith" text="RE">
      <formula>LEFT(F58,LEN("RE"))="RE"</formula>
    </cfRule>
    <cfRule type="containsText" dxfId="324" priority="18" operator="containsText" text="Ne">
      <formula>NOT(ISERROR(SEARCH("Ne",F58)))</formula>
    </cfRule>
    <cfRule type="containsText" dxfId="323" priority="19" operator="containsText" text="Ano">
      <formula>NOT(ISERROR(SEARCH("Ano",F58)))</formula>
    </cfRule>
  </conditionalFormatting>
  <conditionalFormatting sqref="F1:G7 F10:G10 F19:G19 F20 F21:G22 G23:G26 F27:G29">
    <cfRule type="beginsWith" dxfId="322" priority="52" operator="beginsWith" text="RE">
      <formula>LEFT(F1,LEN("RE"))="RE"</formula>
    </cfRule>
  </conditionalFormatting>
  <conditionalFormatting sqref="F13:G17">
    <cfRule type="beginsWith" dxfId="321" priority="36" operator="beginsWith" text="RE">
      <formula>LEFT(F13,LEN("RE"))="RE"</formula>
    </cfRule>
  </conditionalFormatting>
  <conditionalFormatting sqref="F43:G44">
    <cfRule type="expression" dxfId="320" priority="25">
      <formula>$F$39="NERELEVANTNÍ"</formula>
    </cfRule>
  </conditionalFormatting>
  <conditionalFormatting sqref="F44:G44">
    <cfRule type="beginsWith" dxfId="319" priority="26" operator="beginsWith" text="RE">
      <formula>LEFT(F44,LEN("RE"))="RE"</formula>
    </cfRule>
  </conditionalFormatting>
  <conditionalFormatting sqref="F45:G49">
    <cfRule type="beginsWith" dxfId="318" priority="6" operator="beginsWith" text="RE">
      <formula>LEFT(F45,LEN("RE"))="RE"</formula>
    </cfRule>
  </conditionalFormatting>
  <conditionalFormatting sqref="F50:G52">
    <cfRule type="expression" dxfId="317" priority="23">
      <formula>$F$39="NERELEVANTNÍ"</formula>
    </cfRule>
  </conditionalFormatting>
  <conditionalFormatting sqref="F51:G51">
    <cfRule type="beginsWith" dxfId="316" priority="24" operator="beginsWith" text="RE">
      <formula>LEFT(F51,LEN("RE"))="RE"</formula>
    </cfRule>
  </conditionalFormatting>
  <conditionalFormatting sqref="F53:G57">
    <cfRule type="beginsWith" dxfId="315" priority="37" operator="beginsWith" text="RE">
      <formula>LEFT(F53,LEN("RE"))="RE"</formula>
    </cfRule>
  </conditionalFormatting>
  <conditionalFormatting sqref="I50:I52">
    <cfRule type="beginsWith" dxfId="313" priority="45" operator="beginsWith" text="RE">
      <formula>LEFT(I50,LEN("RE"))="RE"</formula>
    </cfRule>
  </conditionalFormatting>
  <hyperlinks>
    <hyperlink ref="B64:B65" location="'3. Skupina podniků'!A1" display="SKUPINA PODNIKŮ" xr:uid="{0145B0AB-B8D4-4C1D-BB8A-4D6BEFA9A541}"/>
  </hyperlinks>
  <pageMargins left="0.25" right="0.25" top="0.75" bottom="0.75" header="0.3" footer="0.3"/>
  <pageSetup paperSize="9" scale="65" fitToHeight="0" orientation="portrait" r:id="rId1"/>
  <rowBreaks count="1" manualBreakCount="1">
    <brk id="46" max="16383" man="1"/>
  </rowBreaks>
  <drawing r:id="rId2"/>
  <extLst>
    <ext xmlns:x14="http://schemas.microsoft.com/office/spreadsheetml/2009/9/main" uri="{78C0D931-6437-407d-A8EE-F0AAD7539E65}">
      <x14:conditionalFormattings>
        <x14:conditionalFormatting xmlns:xm="http://schemas.microsoft.com/office/excel/2006/main">
          <x14:cfRule type="beginsWith" priority="693" operator="beginsWith" text="RE" id="{E0F36DB5-8921-4979-BA64-48AA81E62F34}">
            <xm:f>LEFT('Podnikatel (500)'!B52,LEN("RE"))="RE"</xm:f>
            <x14:dxf>
              <font>
                <color rgb="FF9C0006"/>
              </font>
              <fill>
                <patternFill>
                  <fgColor auto="1"/>
                  <bgColor theme="7" tint="0.79998168889431442"/>
                </patternFill>
              </fill>
            </x14:dxf>
          </x14:cfRule>
          <xm:sqref>B60:B61</xm:sqref>
        </x14:conditionalFormatting>
        <x14:conditionalFormatting xmlns:xm="http://schemas.microsoft.com/office/excel/2006/main">
          <x14:cfRule type="beginsWith" priority="1" operator="beginsWith" text="RE" id="{E0F36DB5-8921-4979-BA64-48AA81E62F34}">
            <xm:f>LEFT('Podnikatel (500)'!B50,LEN("RE"))="RE"</xm:f>
            <x14:dxf>
              <font>
                <color rgb="FF9C0006"/>
              </font>
              <fill>
                <patternFill>
                  <fgColor auto="1"/>
                  <bgColor theme="7" tint="0.79998168889431442"/>
                </patternFill>
              </fill>
            </x14:dxf>
          </x14:cfRule>
          <xm:sqref>B62</xm:sqref>
        </x14:conditionalFormatting>
        <x14:conditionalFormatting xmlns:xm="http://schemas.microsoft.com/office/excel/2006/main">
          <x14:cfRule type="beginsWith" priority="2" operator="beginsWith" text="RE" id="{0C4024A6-378E-43FC-AF59-982F1FA0DC95}">
            <xm:f>LEFT('Podnikatel (500)'!F52,LEN("RE"))="RE"</xm:f>
            <x14:dxf>
              <font>
                <color rgb="FF9C0006"/>
              </font>
              <fill>
                <patternFill>
                  <fgColor auto="1"/>
                  <bgColor theme="7" tint="0.79998168889431442"/>
                </patternFill>
              </fill>
            </x14:dxf>
          </x14:cfRule>
          <xm:sqref>G58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'typy žadatelů'!$B$78:$B$80</xm:f>
          </x14:formula1>
          <xm:sqref>E13:G15 E17:G17</xm:sqref>
        </x14:dataValidation>
        <x14:dataValidation type="list" allowBlank="1" showErrorMessage="1" promptTitle="Vyberte" xr:uid="{00000000-0002-0000-0200-000001000000}">
          <x14:formula1>
            <xm:f>'typy žadatelů'!$B$78:$B$80</xm:f>
          </x14:formula1>
          <xm:sqref>F30:F31 F35:F36</xm:sqref>
        </x14:dataValidation>
        <x14:dataValidation type="list" allowBlank="1" showInputMessage="1" showErrorMessage="1" xr:uid="{00000000-0002-0000-0200-000002000000}">
          <x14:formula1>
            <xm:f>'typy žadatelů'!$D$3:$D$7</xm:f>
          </x14:formula1>
          <xm:sqref>E16:G16</xm:sqref>
        </x14:dataValidation>
        <x14:dataValidation type="list" allowBlank="1" showInputMessage="1" showErrorMessage="1" xr:uid="{00000000-0002-0000-0200-000003000000}">
          <x14:formula1>
            <xm:f>Výpočty!$B$35:$B$37</xm:f>
          </x14:formula1>
          <xm:sqref>E18:G18</xm:sqref>
        </x14:dataValidation>
        <x14:dataValidation type="list" allowBlank="1" showInputMessage="1" showErrorMessage="1" xr:uid="{507CCDA4-65C5-4009-87D6-C2D1343500B2}">
          <x14:formula1>
            <xm:f>Výpočty!$B$12:$B$16</xm:f>
          </x14:formula1>
          <xm:sqref>E8:G8</xm:sqref>
        </x14:dataValidation>
        <x14:dataValidation type="list" allowBlank="1" showInputMessage="1" showErrorMessage="1" xr:uid="{FB21D29B-25B8-424B-AB4E-3C89F56A6873}">
          <x14:formula1>
            <xm:f>Výpočty!$B$18:$B$20</xm:f>
          </x14:formula1>
          <xm:sqref>E9:G9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K66"/>
  <sheetViews>
    <sheetView showGridLines="0" zoomScale="90" zoomScaleNormal="90" workbookViewId="0">
      <selection activeCell="E4" sqref="E4:G4"/>
    </sheetView>
  </sheetViews>
  <sheetFormatPr defaultRowHeight="15.75" x14ac:dyDescent="0.25"/>
  <cols>
    <col min="1" max="1" width="5" customWidth="1"/>
    <col min="2" max="2" width="32.625" customWidth="1"/>
    <col min="3" max="3" width="36.75" customWidth="1"/>
    <col min="4" max="4" width="11.625" customWidth="1"/>
    <col min="5" max="5" width="12.75" customWidth="1"/>
    <col min="6" max="6" width="18.375" customWidth="1"/>
    <col min="7" max="7" width="17.25" customWidth="1"/>
    <col min="8" max="8" width="5" customWidth="1"/>
    <col min="9" max="9" width="0" hidden="1" customWidth="1"/>
    <col min="10" max="11" width="9" hidden="1" customWidth="1"/>
  </cols>
  <sheetData>
    <row r="1" spans="1:11" ht="20.25" customHeight="1" x14ac:dyDescent="0.25"/>
    <row r="2" spans="1:11" ht="24.75" customHeight="1" x14ac:dyDescent="0.25">
      <c r="B2" s="84" t="s">
        <v>414</v>
      </c>
      <c r="D2" s="47"/>
      <c r="E2" s="5"/>
      <c r="F2" s="5"/>
      <c r="G2" s="13"/>
      <c r="H2" s="12"/>
    </row>
    <row r="3" spans="1:11" ht="31.5" customHeight="1" thickBot="1" x14ac:dyDescent="0.3">
      <c r="B3" s="85" t="s">
        <v>491</v>
      </c>
      <c r="D3" s="13"/>
      <c r="E3" s="5"/>
      <c r="F3" s="5"/>
      <c r="G3" s="13"/>
      <c r="H3" s="12"/>
    </row>
    <row r="4" spans="1:11" ht="24.75" customHeight="1" x14ac:dyDescent="0.25">
      <c r="A4" s="32" t="s">
        <v>74</v>
      </c>
      <c r="B4" s="421" t="s">
        <v>80</v>
      </c>
      <c r="C4" s="422"/>
      <c r="D4" s="422"/>
      <c r="E4" s="411"/>
      <c r="F4" s="411"/>
      <c r="G4" s="412"/>
      <c r="H4" s="48"/>
    </row>
    <row r="5" spans="1:11" ht="24.75" hidden="1" customHeight="1" x14ac:dyDescent="0.25">
      <c r="B5" s="137"/>
      <c r="C5" s="413" t="s">
        <v>0</v>
      </c>
      <c r="D5" s="413"/>
      <c r="E5" s="416"/>
      <c r="F5" s="416"/>
      <c r="G5" s="417"/>
      <c r="H5" s="86"/>
    </row>
    <row r="6" spans="1:11" ht="24.75" customHeight="1" x14ac:dyDescent="0.25">
      <c r="B6" s="424" t="s">
        <v>1</v>
      </c>
      <c r="C6" s="413"/>
      <c r="D6" s="413"/>
      <c r="E6" s="419"/>
      <c r="F6" s="419"/>
      <c r="G6" s="420"/>
      <c r="H6" s="86"/>
    </row>
    <row r="7" spans="1:11" ht="24.75" customHeight="1" x14ac:dyDescent="0.25">
      <c r="B7" s="424" t="s">
        <v>385</v>
      </c>
      <c r="C7" s="413"/>
      <c r="D7" s="413"/>
      <c r="E7" s="426"/>
      <c r="F7" s="426"/>
      <c r="G7" s="427"/>
      <c r="H7" s="87"/>
    </row>
    <row r="8" spans="1:11" ht="24.75" customHeight="1" x14ac:dyDescent="0.25">
      <c r="B8" s="424" t="str">
        <f>IF(E7="",Výpočty!B87,Výpočty!B90)</f>
        <v xml:space="preserve">Způsob podání daňového přiznání za účetní období: </v>
      </c>
      <c r="C8" s="413"/>
      <c r="D8" s="413"/>
      <c r="E8" s="495" t="s">
        <v>71</v>
      </c>
      <c r="F8" s="475"/>
      <c r="G8" s="476"/>
      <c r="H8" s="87"/>
    </row>
    <row r="9" spans="1:11" ht="24.75" customHeight="1" thickBot="1" x14ac:dyDescent="0.3">
      <c r="B9" s="461" t="str">
        <f>IF(E7="",Výpočty!B88,Výpočty!B91)</f>
        <v xml:space="preserve">Žadatel podal (tj. uzavřel) daňové přiznání za účetní období: </v>
      </c>
      <c r="C9" s="462"/>
      <c r="D9" s="462"/>
      <c r="E9" s="496" t="s">
        <v>71</v>
      </c>
      <c r="F9" s="477"/>
      <c r="G9" s="478"/>
      <c r="H9" s="87"/>
    </row>
    <row r="10" spans="1:11" ht="24.75" hidden="1" customHeight="1" x14ac:dyDescent="0.25">
      <c r="C10" s="428" t="s">
        <v>392</v>
      </c>
      <c r="D10" s="429"/>
      <c r="E10" s="497" t="str">
        <f>Výpočty!D83</f>
        <v/>
      </c>
      <c r="F10" s="497"/>
      <c r="G10" s="498"/>
      <c r="H10" s="88"/>
    </row>
    <row r="11" spans="1:11" ht="24.75" hidden="1" customHeight="1" thickBot="1" x14ac:dyDescent="0.3">
      <c r="C11" s="437" t="s">
        <v>393</v>
      </c>
      <c r="D11" s="438"/>
      <c r="E11" s="494" t="str">
        <f>IF(E10="","",I11)</f>
        <v/>
      </c>
      <c r="F11" s="494"/>
      <c r="G11" s="494"/>
      <c r="H11" s="88"/>
      <c r="I11" s="493" t="str">
        <f>IF(E9="Ano",E10,IF(E9="Vyberte variantu",E10,E10-1))</f>
        <v/>
      </c>
      <c r="J11" s="493"/>
      <c r="K11" s="493"/>
    </row>
    <row r="12" spans="1:11" ht="6.75" customHeight="1" thickBot="1" x14ac:dyDescent="0.3">
      <c r="B12" s="21"/>
      <c r="C12" s="13"/>
      <c r="D12" s="17"/>
      <c r="E12" s="5"/>
      <c r="F12" s="5"/>
      <c r="G12" s="13"/>
      <c r="H12" s="89"/>
    </row>
    <row r="13" spans="1:11" ht="38.25" customHeight="1" x14ac:dyDescent="0.25">
      <c r="B13" s="421" t="s">
        <v>358</v>
      </c>
      <c r="C13" s="422"/>
      <c r="D13" s="422"/>
      <c r="E13" s="411" t="s">
        <v>71</v>
      </c>
      <c r="F13" s="411"/>
      <c r="G13" s="412"/>
      <c r="H13" s="48"/>
    </row>
    <row r="14" spans="1:11" ht="24.75" hidden="1" customHeight="1" x14ac:dyDescent="0.25">
      <c r="B14" s="137"/>
      <c r="C14" s="460" t="s">
        <v>256</v>
      </c>
      <c r="D14" s="460"/>
      <c r="E14" s="416" t="s">
        <v>2</v>
      </c>
      <c r="F14" s="416"/>
      <c r="G14" s="417"/>
      <c r="H14" s="90"/>
    </row>
    <row r="15" spans="1:11" ht="45.75" customHeight="1" x14ac:dyDescent="0.25">
      <c r="B15" s="424" t="s">
        <v>344</v>
      </c>
      <c r="C15" s="413"/>
      <c r="D15" s="413"/>
      <c r="E15" s="416" t="s">
        <v>71</v>
      </c>
      <c r="F15" s="416"/>
      <c r="G15" s="417"/>
      <c r="H15" s="90"/>
    </row>
    <row r="16" spans="1:11" ht="24.75" hidden="1" customHeight="1" x14ac:dyDescent="0.25">
      <c r="B16" s="137"/>
      <c r="C16" s="413" t="s">
        <v>79</v>
      </c>
      <c r="D16" s="413"/>
      <c r="E16" s="416" t="s">
        <v>177</v>
      </c>
      <c r="F16" s="416"/>
      <c r="G16" s="417"/>
      <c r="H16" s="90"/>
    </row>
    <row r="17" spans="1:8" ht="24.75" hidden="1" customHeight="1" thickBot="1" x14ac:dyDescent="0.3">
      <c r="B17" s="137"/>
      <c r="C17" s="413" t="s">
        <v>248</v>
      </c>
      <c r="D17" s="413"/>
      <c r="E17" s="416" t="s">
        <v>71</v>
      </c>
      <c r="F17" s="416"/>
      <c r="G17" s="417"/>
      <c r="H17" s="90"/>
    </row>
    <row r="18" spans="1:8" ht="24.75" customHeight="1" thickBot="1" x14ac:dyDescent="0.3">
      <c r="B18" s="461" t="s">
        <v>345</v>
      </c>
      <c r="C18" s="462"/>
      <c r="D18" s="462"/>
      <c r="E18" s="433" t="s">
        <v>71</v>
      </c>
      <c r="F18" s="433"/>
      <c r="G18" s="434"/>
      <c r="H18" s="90"/>
    </row>
    <row r="19" spans="1:8" ht="31.5" customHeight="1" thickBot="1" x14ac:dyDescent="0.3">
      <c r="B19" s="21"/>
      <c r="C19" s="13"/>
      <c r="D19" s="13"/>
      <c r="E19" s="5"/>
      <c r="F19" s="5"/>
      <c r="G19" s="13"/>
      <c r="H19" s="90"/>
    </row>
    <row r="20" spans="1:8" ht="36" customHeight="1" thickBot="1" x14ac:dyDescent="0.3">
      <c r="A20" s="32" t="s">
        <v>75</v>
      </c>
      <c r="B20" s="485" t="s">
        <v>90</v>
      </c>
      <c r="C20" s="486"/>
      <c r="D20" s="486"/>
      <c r="E20" s="440" t="b">
        <f>IF(AND(E13="Ano",E14="Ano"),"kritéria C,D",IF(AND(E13="Ano",E14="Ne",E15="Ne"),"kritéria C,D",IF(AND(E13="Ano",E14="Ne",E15="Ano"),"kritéria B,C,D",IF(AND(E13="NE",E15="Ne"),"kritéria C,D,E",IF(AND(E13="NE",E15="Ano"),"kritéria B,C,D,E")))))</f>
        <v>0</v>
      </c>
      <c r="F20" s="441"/>
      <c r="G20" s="442" t="s">
        <v>418</v>
      </c>
      <c r="H20" s="490"/>
    </row>
    <row r="21" spans="1:8" ht="16.5" thickBot="1" x14ac:dyDescent="0.3">
      <c r="B21" s="21"/>
      <c r="C21" s="13"/>
      <c r="D21" s="13"/>
      <c r="E21" s="5"/>
      <c r="F21" s="5"/>
      <c r="G21" s="13"/>
      <c r="H21" s="12"/>
    </row>
    <row r="22" spans="1:8" ht="18" customHeight="1" x14ac:dyDescent="0.25">
      <c r="B22" s="457" t="s">
        <v>110</v>
      </c>
      <c r="C22" s="458"/>
      <c r="D22" s="403" t="s">
        <v>61</v>
      </c>
      <c r="E22" s="403" t="s">
        <v>64</v>
      </c>
      <c r="F22" s="28" t="str">
        <f>IF(OR(E20="kritéria B,C,D,E",E20="kritéria B,C,D"),"RELEVANTNÍ","NERELEVANTNÍ")</f>
        <v>NERELEVANTNÍ</v>
      </c>
      <c r="G22" s="13"/>
      <c r="H22" s="12"/>
    </row>
    <row r="23" spans="1:8" ht="18" customHeight="1" x14ac:dyDescent="0.25">
      <c r="B23" s="459"/>
      <c r="C23" s="460"/>
      <c r="D23" s="404"/>
      <c r="E23" s="404"/>
      <c r="F23" s="33" t="str">
        <f>"Rok N  "&amp; IF($E$11&gt;1,$E$11,"")</f>
        <v xml:space="preserve">Rok N  </v>
      </c>
      <c r="G23" s="13"/>
      <c r="H23" s="12"/>
    </row>
    <row r="24" spans="1:8" ht="27.75" customHeight="1" x14ac:dyDescent="0.25">
      <c r="B24" s="407" t="s">
        <v>65</v>
      </c>
      <c r="C24" s="408"/>
      <c r="D24" s="19" t="s">
        <v>91</v>
      </c>
      <c r="E24" s="20" t="s">
        <v>361</v>
      </c>
      <c r="F24" s="2"/>
      <c r="G24" s="13"/>
      <c r="H24" s="12"/>
    </row>
    <row r="25" spans="1:8" ht="51.75" customHeight="1" x14ac:dyDescent="0.25">
      <c r="B25" s="407" t="s">
        <v>174</v>
      </c>
      <c r="C25" s="408"/>
      <c r="D25" s="19" t="s">
        <v>92</v>
      </c>
      <c r="E25" s="20" t="s">
        <v>362</v>
      </c>
      <c r="F25" s="2"/>
      <c r="G25" s="13"/>
      <c r="H25" s="12"/>
    </row>
    <row r="26" spans="1:8" ht="27.75" customHeight="1" x14ac:dyDescent="0.25">
      <c r="B26" s="407" t="s">
        <v>12</v>
      </c>
      <c r="C26" s="408"/>
      <c r="D26" s="19" t="s">
        <v>92</v>
      </c>
      <c r="E26" s="20" t="s">
        <v>362</v>
      </c>
      <c r="F26" s="2"/>
      <c r="G26" s="13"/>
      <c r="H26" s="12"/>
    </row>
    <row r="27" spans="1:8" ht="24.75" customHeight="1" thickBot="1" x14ac:dyDescent="0.3">
      <c r="B27" s="448" t="s">
        <v>17</v>
      </c>
      <c r="C27" s="449"/>
      <c r="D27" s="449"/>
      <c r="E27" s="449"/>
      <c r="F27" s="25" t="str">
        <f>IF(AND((F25+F26)&gt;0,F24&gt;0),"Ne",(IF((ABS(F25+F26))&gt;((F24-(F25+F26))/2),"Ano","Ne")))</f>
        <v>Ne</v>
      </c>
      <c r="G27" s="13"/>
      <c r="H27" s="12"/>
    </row>
    <row r="28" spans="1:8" ht="16.5" thickBot="1" x14ac:dyDescent="0.3">
      <c r="B28" s="21"/>
      <c r="C28" s="12"/>
      <c r="D28" s="12"/>
      <c r="E28" s="9"/>
      <c r="F28" s="5"/>
      <c r="G28" s="13"/>
      <c r="H28" s="12"/>
    </row>
    <row r="29" spans="1:8" ht="36" customHeight="1" x14ac:dyDescent="0.25">
      <c r="B29" s="457" t="s">
        <v>102</v>
      </c>
      <c r="C29" s="458"/>
      <c r="D29" s="403" t="s">
        <v>61</v>
      </c>
      <c r="E29" s="403"/>
      <c r="F29" s="28" t="s">
        <v>46</v>
      </c>
      <c r="G29" s="13"/>
      <c r="H29" s="12"/>
    </row>
    <row r="30" spans="1:8" ht="27.75" customHeight="1" x14ac:dyDescent="0.25">
      <c r="B30" s="407" t="s">
        <v>18</v>
      </c>
      <c r="C30" s="408"/>
      <c r="D30" s="447" t="s">
        <v>63</v>
      </c>
      <c r="E30" s="447"/>
      <c r="F30" s="3" t="s">
        <v>71</v>
      </c>
    </row>
    <row r="31" spans="1:8" ht="27.75" customHeight="1" x14ac:dyDescent="0.25">
      <c r="B31" s="407" t="s">
        <v>175</v>
      </c>
      <c r="C31" s="408"/>
      <c r="D31" s="447" t="s">
        <v>69</v>
      </c>
      <c r="E31" s="447"/>
      <c r="F31" s="3" t="s">
        <v>71</v>
      </c>
    </row>
    <row r="32" spans="1:8" ht="24.75" customHeight="1" thickBot="1" x14ac:dyDescent="0.3">
      <c r="B32" s="448" t="s">
        <v>19</v>
      </c>
      <c r="C32" s="449"/>
      <c r="D32" s="449"/>
      <c r="E32" s="449"/>
      <c r="F32" s="25" t="str">
        <f>IF(OR(F30="Ano",F31="Ano"),"Ano","Ne")</f>
        <v>Ne</v>
      </c>
      <c r="G32" s="13"/>
      <c r="H32" s="12"/>
    </row>
    <row r="33" spans="2:9" ht="16.5" thickBot="1" x14ac:dyDescent="0.3">
      <c r="B33" s="21"/>
      <c r="C33" s="12"/>
      <c r="D33" s="12"/>
      <c r="E33" s="9"/>
      <c r="F33" s="5"/>
      <c r="G33" s="13"/>
      <c r="H33" s="12"/>
    </row>
    <row r="34" spans="2:9" ht="36" customHeight="1" x14ac:dyDescent="0.25">
      <c r="B34" s="457" t="s">
        <v>103</v>
      </c>
      <c r="C34" s="458"/>
      <c r="D34" s="403" t="s">
        <v>61</v>
      </c>
      <c r="E34" s="403"/>
      <c r="F34" s="28" t="s">
        <v>46</v>
      </c>
      <c r="G34" s="13"/>
      <c r="H34" s="12"/>
    </row>
    <row r="35" spans="2:9" ht="30" customHeight="1" x14ac:dyDescent="0.25">
      <c r="B35" s="407" t="s">
        <v>518</v>
      </c>
      <c r="C35" s="408"/>
      <c r="D35" s="447" t="s">
        <v>69</v>
      </c>
      <c r="E35" s="447"/>
      <c r="F35" s="3" t="s">
        <v>71</v>
      </c>
      <c r="G35" s="13"/>
      <c r="H35" s="12"/>
    </row>
    <row r="36" spans="2:9" ht="30" customHeight="1" x14ac:dyDescent="0.25">
      <c r="B36" s="407" t="s">
        <v>176</v>
      </c>
      <c r="C36" s="408"/>
      <c r="D36" s="447" t="s">
        <v>69</v>
      </c>
      <c r="E36" s="447"/>
      <c r="F36" s="3" t="s">
        <v>71</v>
      </c>
      <c r="G36" s="13"/>
      <c r="H36" s="12"/>
    </row>
    <row r="37" spans="2:9" ht="24.75" customHeight="1" thickBot="1" x14ac:dyDescent="0.3">
      <c r="B37" s="448" t="s">
        <v>20</v>
      </c>
      <c r="C37" s="449"/>
      <c r="D37" s="449"/>
      <c r="E37" s="449"/>
      <c r="F37" s="25" t="str">
        <f>IF(OR(F35="Ano",F36="Ano"),"Ano","Ne")</f>
        <v>Ne</v>
      </c>
      <c r="G37" s="13"/>
      <c r="H37" s="12"/>
    </row>
    <row r="38" spans="2:9" ht="16.5" thickBot="1" x14ac:dyDescent="0.3">
      <c r="B38" s="21"/>
      <c r="C38" s="12"/>
      <c r="D38" s="12"/>
      <c r="E38" s="9"/>
      <c r="F38" s="5"/>
      <c r="G38" s="13"/>
      <c r="H38" s="12"/>
    </row>
    <row r="39" spans="2:9" ht="36" customHeight="1" thickBot="1" x14ac:dyDescent="0.3">
      <c r="B39" s="487" t="s">
        <v>104</v>
      </c>
      <c r="C39" s="488"/>
      <c r="D39" s="488"/>
      <c r="E39" s="488"/>
      <c r="F39" s="26" t="str">
        <f>IF(OR(E20="kritéria A,C,D,E",E20="kritéria B,C,D,E"),"RELEVANTNÍ","NERELEVANTNÍ")</f>
        <v>NERELEVANTNÍ</v>
      </c>
      <c r="G39" s="17"/>
      <c r="H39" s="8"/>
    </row>
    <row r="40" spans="2:9" ht="6.75" customHeight="1" thickBot="1" x14ac:dyDescent="0.3">
      <c r="B40" s="21"/>
      <c r="C40" s="12"/>
      <c r="D40" s="12"/>
      <c r="E40" s="9"/>
      <c r="F40" s="21"/>
      <c r="G40" s="21"/>
      <c r="H40" s="8"/>
    </row>
    <row r="41" spans="2:9" ht="18.75" customHeight="1" x14ac:dyDescent="0.25">
      <c r="B41" s="457" t="s">
        <v>105</v>
      </c>
      <c r="C41" s="458"/>
      <c r="D41" s="403" t="s">
        <v>61</v>
      </c>
      <c r="E41" s="405" t="s">
        <v>98</v>
      </c>
      <c r="F41" s="139" t="s">
        <v>404</v>
      </c>
      <c r="G41" s="131" t="s">
        <v>407</v>
      </c>
      <c r="H41" s="8"/>
    </row>
    <row r="42" spans="2:9" ht="18.75" customHeight="1" x14ac:dyDescent="0.25">
      <c r="B42" s="459"/>
      <c r="C42" s="460"/>
      <c r="D42" s="404"/>
      <c r="E42" s="406"/>
      <c r="F42" s="138" t="str">
        <f>IF($E$11&gt;1,$E$11,"")</f>
        <v/>
      </c>
      <c r="G42" s="142" t="str">
        <f>IF(I42="","",I42-1)</f>
        <v/>
      </c>
      <c r="H42" s="8"/>
      <c r="I42" s="133" t="str">
        <f>IF($E$11&gt;1,$E$11,"")</f>
        <v/>
      </c>
    </row>
    <row r="43" spans="2:9" ht="27.75" customHeight="1" x14ac:dyDescent="0.25">
      <c r="B43" s="407" t="s">
        <v>15</v>
      </c>
      <c r="C43" s="408"/>
      <c r="D43" s="19" t="s">
        <v>91</v>
      </c>
      <c r="E43" s="20" t="s">
        <v>361</v>
      </c>
      <c r="F43" s="1"/>
      <c r="G43" s="2"/>
      <c r="H43" s="8"/>
    </row>
    <row r="44" spans="2:9" ht="27.75" customHeight="1" x14ac:dyDescent="0.25">
      <c r="B44" s="407" t="s">
        <v>99</v>
      </c>
      <c r="C44" s="408"/>
      <c r="D44" s="19" t="s">
        <v>91</v>
      </c>
      <c r="E44" s="20" t="s">
        <v>363</v>
      </c>
      <c r="F44" s="1"/>
      <c r="G44" s="2"/>
      <c r="H44" s="8"/>
    </row>
    <row r="45" spans="2:9" ht="27.75" customHeight="1" x14ac:dyDescent="0.25">
      <c r="B45" s="407" t="s">
        <v>88</v>
      </c>
      <c r="C45" s="408"/>
      <c r="D45" s="408"/>
      <c r="E45" s="408"/>
      <c r="F45" s="6" t="str">
        <f>IF((F43)=0,"NR",(F44/F43))</f>
        <v>NR</v>
      </c>
      <c r="G45" s="7" t="str">
        <f>IF((G43)=0,"NR",(G44/G43))</f>
        <v>NR</v>
      </c>
      <c r="H45" s="8"/>
    </row>
    <row r="46" spans="2:9" ht="24.75" customHeight="1" thickBot="1" x14ac:dyDescent="0.3">
      <c r="B46" s="448" t="s">
        <v>22</v>
      </c>
      <c r="C46" s="449"/>
      <c r="D46" s="449"/>
      <c r="E46" s="449"/>
      <c r="F46" s="10" t="str">
        <f>IF((F43)="0","Ano",IF((F45)&lt;0,"Chyba",IF(F45&gt;7.5,"Ano","Ne")))</f>
        <v>Ano</v>
      </c>
      <c r="G46" s="11" t="str">
        <f>IF((G43)="0","Ano",IF((G45)&lt;0,"Chyba",IF(G45&gt;7.5,"Ano","Ne")))</f>
        <v>Ano</v>
      </c>
      <c r="H46" s="8"/>
    </row>
    <row r="47" spans="2:9" ht="6.75" customHeight="1" thickBot="1" x14ac:dyDescent="0.3">
      <c r="B47" s="21"/>
      <c r="C47" s="12"/>
      <c r="D47" s="12"/>
      <c r="E47" s="9"/>
      <c r="F47" s="21"/>
      <c r="G47" s="21"/>
      <c r="H47" s="8"/>
    </row>
    <row r="48" spans="2:9" ht="18.75" customHeight="1" x14ac:dyDescent="0.25">
      <c r="B48" s="457" t="s">
        <v>106</v>
      </c>
      <c r="C48" s="458"/>
      <c r="D48" s="403" t="s">
        <v>61</v>
      </c>
      <c r="E48" s="405" t="s">
        <v>98</v>
      </c>
      <c r="F48" s="130" t="s">
        <v>404</v>
      </c>
      <c r="G48" s="131" t="s">
        <v>407</v>
      </c>
      <c r="H48" s="8"/>
    </row>
    <row r="49" spans="2:8" ht="18.75" customHeight="1" x14ac:dyDescent="0.25">
      <c r="B49" s="459"/>
      <c r="C49" s="460"/>
      <c r="D49" s="404"/>
      <c r="E49" s="406"/>
      <c r="F49" s="132" t="str">
        <f>F42</f>
        <v/>
      </c>
      <c r="G49" s="133" t="str">
        <f>G42</f>
        <v/>
      </c>
      <c r="H49" s="8"/>
    </row>
    <row r="50" spans="2:8" ht="27.75" customHeight="1" x14ac:dyDescent="0.25">
      <c r="B50" s="407" t="s">
        <v>23</v>
      </c>
      <c r="C50" s="408"/>
      <c r="D50" s="19"/>
      <c r="E50" s="20"/>
      <c r="F50" s="1"/>
      <c r="G50" s="2"/>
      <c r="H50" s="8"/>
    </row>
    <row r="51" spans="2:8" ht="27.75" customHeight="1" x14ac:dyDescent="0.25">
      <c r="B51" s="407" t="s">
        <v>25</v>
      </c>
      <c r="C51" s="408"/>
      <c r="D51" s="489" t="s">
        <v>109</v>
      </c>
      <c r="E51" s="489"/>
      <c r="F51" s="1"/>
      <c r="G51" s="2"/>
      <c r="H51" s="8"/>
    </row>
    <row r="52" spans="2:8" ht="27.75" customHeight="1" x14ac:dyDescent="0.25">
      <c r="B52" s="407" t="s">
        <v>27</v>
      </c>
      <c r="C52" s="408"/>
      <c r="D52" s="19" t="s">
        <v>92</v>
      </c>
      <c r="E52" s="20" t="s">
        <v>362</v>
      </c>
      <c r="F52" s="1"/>
      <c r="G52" s="2"/>
      <c r="H52" s="8"/>
    </row>
    <row r="53" spans="2:8" ht="27.75" customHeight="1" x14ac:dyDescent="0.25">
      <c r="B53" s="407" t="s">
        <v>89</v>
      </c>
      <c r="C53" s="408"/>
      <c r="D53" s="408"/>
      <c r="E53" s="408"/>
      <c r="F53" s="6" t="str">
        <f>IF(F51=0,"NR",(F50+F51+F52)/F51)</f>
        <v>NR</v>
      </c>
      <c r="G53" s="7" t="str">
        <f>IF(G51=0,"NR",(G50+G51+G52)/G51)</f>
        <v>NR</v>
      </c>
      <c r="H53" s="8"/>
    </row>
    <row r="54" spans="2:8" ht="27.75" customHeight="1" thickBot="1" x14ac:dyDescent="0.3">
      <c r="B54" s="448" t="s">
        <v>107</v>
      </c>
      <c r="C54" s="449"/>
      <c r="D54" s="449"/>
      <c r="E54" s="449"/>
      <c r="F54" s="10" t="str">
        <f>IF((F53)="NR","NR",IF((F53)&lt;1,"Ano","Ne"))</f>
        <v>NR</v>
      </c>
      <c r="G54" s="11" t="str">
        <f>IF((G53)="NR","NR",IF((G53)&lt;1,"Ano","Ne"))</f>
        <v>NR</v>
      </c>
      <c r="H54" s="8"/>
    </row>
    <row r="55" spans="2:8" ht="6.75" customHeight="1" thickBot="1" x14ac:dyDescent="0.3">
      <c r="B55" s="21"/>
      <c r="C55" s="12"/>
      <c r="D55" s="12"/>
      <c r="E55" s="9"/>
      <c r="F55" s="5"/>
      <c r="G55" s="13"/>
      <c r="H55" s="12"/>
    </row>
    <row r="56" spans="2:8" ht="24.75" customHeight="1" thickBot="1" x14ac:dyDescent="0.3">
      <c r="B56" s="491" t="s">
        <v>29</v>
      </c>
      <c r="C56" s="492"/>
      <c r="D56" s="492"/>
      <c r="E56" s="492"/>
      <c r="F56" s="14" t="str">
        <f>IF(AND(F46="ANO",G46="Ano",F54="Ano",G54="Ano"),"Ano","Ne")</f>
        <v>Ne</v>
      </c>
      <c r="G56" s="13"/>
      <c r="H56" s="15"/>
    </row>
    <row r="57" spans="2:8" ht="22.5" customHeight="1" thickBot="1" x14ac:dyDescent="0.3">
      <c r="B57" s="21"/>
      <c r="C57" s="12"/>
      <c r="D57" s="12"/>
      <c r="E57" s="9"/>
      <c r="F57" s="5"/>
      <c r="G57" s="13"/>
      <c r="H57" s="12"/>
    </row>
    <row r="58" spans="2:8" ht="56.25" customHeight="1" thickBot="1" x14ac:dyDescent="0.3">
      <c r="B58" s="499" t="s">
        <v>108</v>
      </c>
      <c r="C58" s="500"/>
      <c r="D58" s="500"/>
      <c r="E58" s="500"/>
      <c r="F58" s="16" t="str">
        <f>IF(OR(F27="Ano",F32="Ano",F37="Ano",F56="Ano"),"Ano","Ne")</f>
        <v>Ne</v>
      </c>
      <c r="G58" s="134" t="s">
        <v>416</v>
      </c>
      <c r="H58" s="91"/>
    </row>
    <row r="60" spans="2:8" x14ac:dyDescent="0.25">
      <c r="B60" s="369" t="str">
        <f>IF(F58="Ano","Výsledek testu je pozitivní (žadatel je podnikem v obtížích). Nepokračujte v testu dále, žadateli nelze poskytnout podporu!","")</f>
        <v/>
      </c>
    </row>
    <row r="61" spans="2:8" ht="3.75" customHeight="1" x14ac:dyDescent="0.25"/>
    <row r="62" spans="2:8" ht="3.75" customHeight="1" x14ac:dyDescent="0.25"/>
    <row r="63" spans="2:8" x14ac:dyDescent="0.25">
      <c r="B63" s="134" t="str">
        <f>IF(F58="Ano","","Krok 5: Kliknutím na níže uvedené pole dojde k přesměrování na list Skupina podniků")</f>
        <v>Krok 5: Kliknutím na níže uvedené pole dojde k přesměrování na list Skupina podniků</v>
      </c>
    </row>
    <row r="64" spans="2:8" ht="7.5" customHeight="1" x14ac:dyDescent="0.25"/>
    <row r="65" spans="2:2" x14ac:dyDescent="0.25">
      <c r="B65" s="402" t="s">
        <v>417</v>
      </c>
    </row>
    <row r="66" spans="2:2" x14ac:dyDescent="0.25">
      <c r="B66" s="402"/>
    </row>
  </sheetData>
  <sheetProtection algorithmName="SHA-512" hashValue="XiTMVWesaX9WvNWqKNFPy/Y+Q0pwrU5Pl3jt4yBKZYzwS5h5vELLC0yMS6MTCXIAB8a3Sv4/2X2jSorsq/RBOQ==" saltValue="tyKerBd+qvmo24if5ae0vg==" spinCount="100000" sheet="1" selectLockedCells="1"/>
  <mergeCells count="73">
    <mergeCell ref="B65:B66"/>
    <mergeCell ref="B51:C51"/>
    <mergeCell ref="B27:E27"/>
    <mergeCell ref="B29:C29"/>
    <mergeCell ref="D29:E29"/>
    <mergeCell ref="D30:E30"/>
    <mergeCell ref="D31:E31"/>
    <mergeCell ref="D51:E51"/>
    <mergeCell ref="B52:C52"/>
    <mergeCell ref="B53:E53"/>
    <mergeCell ref="B54:E54"/>
    <mergeCell ref="B56:E56"/>
    <mergeCell ref="E41:E42"/>
    <mergeCell ref="B30:C30"/>
    <mergeCell ref="B35:C35"/>
    <mergeCell ref="B50:C50"/>
    <mergeCell ref="B58:E58"/>
    <mergeCell ref="B37:E37"/>
    <mergeCell ref="B39:E39"/>
    <mergeCell ref="B41:C42"/>
    <mergeCell ref="B43:C43"/>
    <mergeCell ref="B44:C44"/>
    <mergeCell ref="D48:D49"/>
    <mergeCell ref="B45:E45"/>
    <mergeCell ref="B46:E46"/>
    <mergeCell ref="B48:C49"/>
    <mergeCell ref="E48:E49"/>
    <mergeCell ref="D41:D42"/>
    <mergeCell ref="I11:K11"/>
    <mergeCell ref="B13:D13"/>
    <mergeCell ref="E11:G11"/>
    <mergeCell ref="E4:G4"/>
    <mergeCell ref="C5:D5"/>
    <mergeCell ref="E5:G5"/>
    <mergeCell ref="E6:G6"/>
    <mergeCell ref="E7:G7"/>
    <mergeCell ref="B4:D4"/>
    <mergeCell ref="B6:D6"/>
    <mergeCell ref="B7:D7"/>
    <mergeCell ref="E8:G8"/>
    <mergeCell ref="E9:G9"/>
    <mergeCell ref="B8:D8"/>
    <mergeCell ref="B9:D9"/>
    <mergeCell ref="E10:G10"/>
    <mergeCell ref="E13:G13"/>
    <mergeCell ref="C14:D14"/>
    <mergeCell ref="E14:G14"/>
    <mergeCell ref="E15:G15"/>
    <mergeCell ref="C10:D10"/>
    <mergeCell ref="C11:D11"/>
    <mergeCell ref="C16:D16"/>
    <mergeCell ref="E16:G16"/>
    <mergeCell ref="B15:D15"/>
    <mergeCell ref="B22:C23"/>
    <mergeCell ref="G20:H20"/>
    <mergeCell ref="C17:D17"/>
    <mergeCell ref="E17:G17"/>
    <mergeCell ref="E20:F20"/>
    <mergeCell ref="E18:G18"/>
    <mergeCell ref="B18:D18"/>
    <mergeCell ref="B20:D20"/>
    <mergeCell ref="D22:D23"/>
    <mergeCell ref="E22:E23"/>
    <mergeCell ref="B36:C36"/>
    <mergeCell ref="B24:C24"/>
    <mergeCell ref="B25:C25"/>
    <mergeCell ref="B26:C26"/>
    <mergeCell ref="D35:E35"/>
    <mergeCell ref="D36:E36"/>
    <mergeCell ref="B31:C31"/>
    <mergeCell ref="B32:E32"/>
    <mergeCell ref="B34:C34"/>
    <mergeCell ref="D34:E34"/>
  </mergeCells>
  <conditionalFormatting sqref="B1:B3 A4 B5 B12 B14 B16:B17 B19 A20 B21 B28">
    <cfRule type="beginsWith" dxfId="312" priority="26" operator="beginsWith" text="RE">
      <formula>LEFT(A1,LEN("RE"))="RE"</formula>
    </cfRule>
    <cfRule type="containsText" dxfId="311" priority="27" operator="containsText" text="&quot;RELEVANTNÍ&quot;">
      <formula>NOT(ISERROR(SEARCH("""RELEVANTNÍ""",A1)))</formula>
    </cfRule>
  </conditionalFormatting>
  <conditionalFormatting sqref="B33">
    <cfRule type="beginsWith" dxfId="310" priority="42" operator="beginsWith" text="RE">
      <formula>LEFT(B33,LEN("RE"))="RE"</formula>
    </cfRule>
    <cfRule type="containsText" dxfId="309" priority="43" operator="containsText" text="&quot;RELEVANTNÍ&quot;">
      <formula>NOT(ISERROR(SEARCH("""RELEVANTNÍ""",B33)))</formula>
    </cfRule>
  </conditionalFormatting>
  <conditionalFormatting sqref="B38 B40 B47 B55 B57 B59:B62">
    <cfRule type="beginsWith" dxfId="308" priority="16" operator="beginsWith" text="RE">
      <formula>LEFT(B38,LEN("RE"))="RE"</formula>
    </cfRule>
    <cfRule type="containsText" dxfId="307" priority="17" operator="containsText" text="&quot;RELEVANTNÍ&quot;">
      <formula>NOT(ISERROR(SEARCH("""RELEVANTNÍ""",B38)))</formula>
    </cfRule>
  </conditionalFormatting>
  <conditionalFormatting sqref="F23 F32:G41 F42 I42:I45">
    <cfRule type="beginsWith" dxfId="305" priority="6" operator="beginsWith" text="RE">
      <formula>LEFT(F23,LEN("RE"))="RE"</formula>
    </cfRule>
  </conditionalFormatting>
  <conditionalFormatting sqref="F24:F26">
    <cfRule type="expression" dxfId="304" priority="24">
      <formula>$F$22="NERELEVANTNÍ"</formula>
    </cfRule>
  </conditionalFormatting>
  <conditionalFormatting sqref="F25:F26">
    <cfRule type="beginsWith" dxfId="303" priority="25" operator="beginsWith" text="RE">
      <formula>LEFT(F25,LEN("RE"))="RE"</formula>
    </cfRule>
  </conditionalFormatting>
  <conditionalFormatting sqref="F27 F32 F37 F56">
    <cfRule type="containsText" dxfId="302" priority="45" operator="containsText" text="Ano">
      <formula>NOT(ISERROR(SEARCH("Ano",F27)))</formula>
    </cfRule>
  </conditionalFormatting>
  <conditionalFormatting sqref="F27 F56 F32 F37">
    <cfRule type="containsText" dxfId="301" priority="44" operator="containsText" text="Ne">
      <formula>NOT(ISERROR(SEARCH("Ne",F27)))</formula>
    </cfRule>
  </conditionalFormatting>
  <conditionalFormatting sqref="F30:F31">
    <cfRule type="beginsWith" dxfId="300" priority="9" operator="beginsWith" text="RE">
      <formula>LEFT(F30,LEN("RE"))="RE"</formula>
    </cfRule>
  </conditionalFormatting>
  <conditionalFormatting sqref="F58">
    <cfRule type="beginsWith" dxfId="299" priority="12" operator="beginsWith" text="RE">
      <formula>LEFT(F58,LEN("RE"))="RE"</formula>
    </cfRule>
    <cfRule type="containsText" dxfId="298" priority="13" operator="containsText" text="Ne">
      <formula>NOT(ISERROR(SEARCH("Ne",F58)))</formula>
    </cfRule>
    <cfRule type="containsText" dxfId="297" priority="14" operator="containsText" text="Ano">
      <formula>NOT(ISERROR(SEARCH("Ano",F58)))</formula>
    </cfRule>
  </conditionalFormatting>
  <conditionalFormatting sqref="F1:G7 F10:G10 F12:G17">
    <cfRule type="beginsWith" dxfId="296" priority="28" operator="beginsWith" text="RE">
      <formula>LEFT(F1,LEN("RE"))="RE"</formula>
    </cfRule>
  </conditionalFormatting>
  <conditionalFormatting sqref="F19:G19 F20 F21:G22 G23:G26 F27:G29 F59:G63">
    <cfRule type="beginsWith" dxfId="295" priority="41" operator="beginsWith" text="RE">
      <formula>LEFT(F19,LEN("RE"))="RE"</formula>
    </cfRule>
  </conditionalFormatting>
  <conditionalFormatting sqref="F43:G44">
    <cfRule type="expression" dxfId="294" priority="20">
      <formula>$F$39="NERELEVANTNÍ"</formula>
    </cfRule>
  </conditionalFormatting>
  <conditionalFormatting sqref="F44:G44">
    <cfRule type="beginsWith" dxfId="293" priority="21" operator="beginsWith" text="RE">
      <formula>LEFT(F44,LEN("RE"))="RE"</formula>
    </cfRule>
  </conditionalFormatting>
  <conditionalFormatting sqref="F45:G49">
    <cfRule type="beginsWith" dxfId="292" priority="4" operator="beginsWith" text="RE">
      <formula>LEFT(F45,LEN("RE"))="RE"</formula>
    </cfRule>
  </conditionalFormatting>
  <conditionalFormatting sqref="F50:G52">
    <cfRule type="expression" dxfId="291" priority="18">
      <formula>$F$39="NERELEVANTNÍ"</formula>
    </cfRule>
  </conditionalFormatting>
  <conditionalFormatting sqref="F51:G51">
    <cfRule type="beginsWith" dxfId="290" priority="19" operator="beginsWith" text="RE">
      <formula>LEFT(F51,LEN("RE"))="RE"</formula>
    </cfRule>
  </conditionalFormatting>
  <conditionalFormatting sqref="F53:G57">
    <cfRule type="beginsWith" dxfId="289" priority="29" operator="beginsWith" text="RE">
      <formula>LEFT(F53,LEN("RE"))="RE"</formula>
    </cfRule>
  </conditionalFormatting>
  <conditionalFormatting sqref="I50:I52">
    <cfRule type="beginsWith" dxfId="287" priority="37" operator="beginsWith" text="RE">
      <formula>LEFT(I50,LEN("RE"))="RE"</formula>
    </cfRule>
  </conditionalFormatting>
  <hyperlinks>
    <hyperlink ref="B65:B66" location="'3. Skupina podniků'!A1" display="SKUPINA PODNIKŮ" xr:uid="{217196F7-446A-4F4D-AF81-83670B1A2298}"/>
  </hyperlinks>
  <pageMargins left="0.25" right="0.25" top="0.75" bottom="0.75" header="0.3" footer="0.3"/>
  <pageSetup paperSize="9" scale="65" fitToHeight="0" orientation="portrait" r:id="rId1"/>
  <rowBreaks count="1" manualBreakCount="1">
    <brk id="46" max="16383" man="1"/>
  </rowBreaks>
  <drawing r:id="rId2"/>
  <extLst>
    <ext xmlns:x14="http://schemas.microsoft.com/office/spreadsheetml/2009/9/main" uri="{78C0D931-6437-407d-A8EE-F0AAD7539E65}">
      <x14:conditionalFormattings>
        <x14:conditionalFormatting xmlns:xm="http://schemas.microsoft.com/office/excel/2006/main">
          <x14:cfRule type="beginsWith" priority="1" operator="beginsWith" text="RE" id="{960415E9-9BBD-4DAC-98D9-F6376F5F0B32}">
            <xm:f>LEFT('Podnikatel (500)'!B50,LEN("RE"))="RE"</xm:f>
            <x14:dxf>
              <font>
                <color rgb="FF9C0006"/>
              </font>
              <fill>
                <patternFill>
                  <fgColor auto="1"/>
                  <bgColor theme="7" tint="0.79998168889431442"/>
                </patternFill>
              </fill>
            </x14:dxf>
          </x14:cfRule>
          <xm:sqref>B63</xm:sqref>
        </x14:conditionalFormatting>
        <x14:conditionalFormatting xmlns:xm="http://schemas.microsoft.com/office/excel/2006/main">
          <x14:cfRule type="beginsWith" priority="2" operator="beginsWith" text="RE" id="{3F6C8AF0-F60D-4543-BB09-9279914E6EFE}">
            <xm:f>LEFT('Podnikatel (500)'!F52,LEN("RE"))="RE"</xm:f>
            <x14:dxf>
              <font>
                <color rgb="FF9C0006"/>
              </font>
              <fill>
                <patternFill>
                  <fgColor auto="1"/>
                  <bgColor theme="7" tint="0.79998168889431442"/>
                </patternFill>
              </fill>
            </x14:dxf>
          </x14:cfRule>
          <xm:sqref>G58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'typy žadatelů'!$D$3:$D$7</xm:f>
          </x14:formula1>
          <xm:sqref>E16:G16</xm:sqref>
        </x14:dataValidation>
        <x14:dataValidation type="list" allowBlank="1" showErrorMessage="1" promptTitle="Vyberte" xr:uid="{00000000-0002-0000-0300-000001000000}">
          <x14:formula1>
            <xm:f>'typy žadatelů'!$B$78:$B$80</xm:f>
          </x14:formula1>
          <xm:sqref>F30:F31 F35:F36</xm:sqref>
        </x14:dataValidation>
        <x14:dataValidation type="list" allowBlank="1" showInputMessage="1" showErrorMessage="1" xr:uid="{00000000-0002-0000-0300-000002000000}">
          <x14:formula1>
            <xm:f>'typy žadatelů'!$B$78:$B$80</xm:f>
          </x14:formula1>
          <xm:sqref>E13:G15 E17:G17</xm:sqref>
        </x14:dataValidation>
        <x14:dataValidation type="list" allowBlank="1" showInputMessage="1" showErrorMessage="1" xr:uid="{00000000-0002-0000-0300-000003000000}">
          <x14:formula1>
            <xm:f>Výpočty!$B$35:$B$37</xm:f>
          </x14:formula1>
          <xm:sqref>E18:G18</xm:sqref>
        </x14:dataValidation>
        <x14:dataValidation type="list" allowBlank="1" showInputMessage="1" showErrorMessage="1" xr:uid="{BD85AB77-93EB-4BE8-87CC-DF7C9DB6DD84}">
          <x14:formula1>
            <xm:f>Výpočty!$B$12:$B$16</xm:f>
          </x14:formula1>
          <xm:sqref>E8:G8</xm:sqref>
        </x14:dataValidation>
        <x14:dataValidation type="list" allowBlank="1" showInputMessage="1" showErrorMessage="1" xr:uid="{3B0FDC87-B72B-40F0-A9DA-85C8185F8C88}">
          <x14:formula1>
            <xm:f>Výpočty!$B$18:$B$20</xm:f>
          </x14:formula1>
          <xm:sqref>E9:G9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K65"/>
  <sheetViews>
    <sheetView showGridLines="0" zoomScale="90" zoomScaleNormal="90" workbookViewId="0">
      <selection activeCell="E4" sqref="E4:G4"/>
    </sheetView>
  </sheetViews>
  <sheetFormatPr defaultRowHeight="15.75" x14ac:dyDescent="0.25"/>
  <cols>
    <col min="1" max="1" width="5" customWidth="1"/>
    <col min="2" max="2" width="32.625" customWidth="1"/>
    <col min="3" max="3" width="36.75" customWidth="1"/>
    <col min="4" max="4" width="11.625" customWidth="1"/>
    <col min="5" max="5" width="12.75" customWidth="1"/>
    <col min="6" max="6" width="18.375" customWidth="1"/>
    <col min="7" max="7" width="17.25" customWidth="1"/>
    <col min="8" max="8" width="5" customWidth="1"/>
    <col min="9" max="9" width="15.125" hidden="1" customWidth="1"/>
    <col min="10" max="11" width="0" hidden="1" customWidth="1"/>
  </cols>
  <sheetData>
    <row r="1" spans="1:11" ht="20.25" customHeight="1" x14ac:dyDescent="0.25"/>
    <row r="2" spans="1:11" ht="24.75" customHeight="1" x14ac:dyDescent="0.25">
      <c r="B2" s="84" t="s">
        <v>415</v>
      </c>
      <c r="D2" s="47"/>
      <c r="E2" s="5"/>
      <c r="F2" s="5"/>
      <c r="G2" s="13"/>
      <c r="H2" s="12"/>
    </row>
    <row r="3" spans="1:11" ht="31.5" customHeight="1" thickBot="1" x14ac:dyDescent="0.3">
      <c r="B3" s="85" t="s">
        <v>491</v>
      </c>
      <c r="D3" s="13"/>
      <c r="E3" s="5"/>
      <c r="F3" s="5"/>
      <c r="G3" s="13"/>
      <c r="H3" s="12"/>
    </row>
    <row r="4" spans="1:11" ht="24.75" customHeight="1" x14ac:dyDescent="0.25">
      <c r="A4" s="32" t="s">
        <v>74</v>
      </c>
      <c r="B4" s="421" t="s">
        <v>80</v>
      </c>
      <c r="C4" s="422"/>
      <c r="D4" s="422"/>
      <c r="E4" s="411"/>
      <c r="F4" s="411"/>
      <c r="G4" s="412"/>
      <c r="H4" s="48"/>
    </row>
    <row r="5" spans="1:11" ht="24.75" hidden="1" customHeight="1" x14ac:dyDescent="0.25">
      <c r="B5" s="137"/>
      <c r="C5" s="413" t="s">
        <v>0</v>
      </c>
      <c r="D5" s="413"/>
      <c r="E5" s="416" t="s">
        <v>357</v>
      </c>
      <c r="F5" s="416"/>
      <c r="G5" s="417"/>
      <c r="H5" s="86"/>
    </row>
    <row r="6" spans="1:11" ht="24.75" customHeight="1" x14ac:dyDescent="0.25">
      <c r="B6" s="424" t="s">
        <v>1</v>
      </c>
      <c r="C6" s="413"/>
      <c r="D6" s="413"/>
      <c r="E6" s="419"/>
      <c r="F6" s="419"/>
      <c r="G6" s="420"/>
      <c r="H6" s="86"/>
    </row>
    <row r="7" spans="1:11" ht="24.75" customHeight="1" x14ac:dyDescent="0.25">
      <c r="B7" s="424" t="s">
        <v>385</v>
      </c>
      <c r="C7" s="413"/>
      <c r="D7" s="413"/>
      <c r="E7" s="426"/>
      <c r="F7" s="426"/>
      <c r="G7" s="427"/>
      <c r="H7" s="87"/>
    </row>
    <row r="8" spans="1:11" ht="24.75" customHeight="1" x14ac:dyDescent="0.25">
      <c r="B8" s="424" t="str">
        <f>IF(E7="",Výpočty!B100,Výpočty!B103)</f>
        <v xml:space="preserve">Způsob podání daňového přiznání za účetní období: </v>
      </c>
      <c r="C8" s="413"/>
      <c r="D8" s="413"/>
      <c r="E8" s="495" t="s">
        <v>71</v>
      </c>
      <c r="F8" s="475"/>
      <c r="G8" s="476"/>
      <c r="H8" s="87"/>
    </row>
    <row r="9" spans="1:11" ht="24.75" customHeight="1" thickBot="1" x14ac:dyDescent="0.3">
      <c r="B9" s="461" t="str">
        <f>IF(E7="",Výpočty!B101,Výpočty!B104)</f>
        <v xml:space="preserve">Žadatel podal (tj. uzavřel) daňové přiznání za účetní období: </v>
      </c>
      <c r="C9" s="462"/>
      <c r="D9" s="462"/>
      <c r="E9" s="496" t="s">
        <v>71</v>
      </c>
      <c r="F9" s="477"/>
      <c r="G9" s="478"/>
      <c r="H9" s="87"/>
    </row>
    <row r="10" spans="1:11" ht="24.75" hidden="1" customHeight="1" x14ac:dyDescent="0.25">
      <c r="C10" s="501" t="s">
        <v>493</v>
      </c>
      <c r="D10" s="502"/>
      <c r="E10" s="430" t="str">
        <f>Výpočty!D96</f>
        <v/>
      </c>
      <c r="F10" s="430"/>
      <c r="G10" s="430"/>
      <c r="H10" s="88"/>
    </row>
    <row r="11" spans="1:11" ht="24.75" hidden="1" customHeight="1" thickBot="1" x14ac:dyDescent="0.3">
      <c r="C11" s="437" t="s">
        <v>393</v>
      </c>
      <c r="D11" s="438"/>
      <c r="E11" s="494" t="str">
        <f>IF(E10="","",I11)</f>
        <v/>
      </c>
      <c r="F11" s="494"/>
      <c r="G11" s="494"/>
      <c r="H11" s="88"/>
      <c r="I11" s="479" t="str">
        <f>IF(E9="Ano",E10,IF(E9="Vyberte variantu",E10,E10-1))</f>
        <v/>
      </c>
      <c r="J11" s="480"/>
      <c r="K11" s="481"/>
    </row>
    <row r="12" spans="1:11" ht="6.75" customHeight="1" thickBot="1" x14ac:dyDescent="0.3">
      <c r="B12" s="21"/>
      <c r="C12" s="13"/>
      <c r="D12" s="17"/>
      <c r="E12" s="5"/>
      <c r="F12" s="5"/>
      <c r="G12" s="13"/>
      <c r="H12" s="89"/>
    </row>
    <row r="13" spans="1:11" ht="38.25" customHeight="1" x14ac:dyDescent="0.25">
      <c r="B13" s="421" t="s">
        <v>358</v>
      </c>
      <c r="C13" s="422"/>
      <c r="D13" s="422"/>
      <c r="E13" s="411" t="s">
        <v>71</v>
      </c>
      <c r="F13" s="411"/>
      <c r="G13" s="412"/>
      <c r="H13" s="48"/>
    </row>
    <row r="14" spans="1:11" hidden="1" x14ac:dyDescent="0.25">
      <c r="B14" s="137"/>
      <c r="C14" s="460" t="s">
        <v>256</v>
      </c>
      <c r="D14" s="460"/>
      <c r="E14" s="416" t="s">
        <v>2</v>
      </c>
      <c r="F14" s="416"/>
      <c r="G14" s="417"/>
      <c r="H14" s="90"/>
    </row>
    <row r="15" spans="1:11" ht="45.75" customHeight="1" x14ac:dyDescent="0.25">
      <c r="B15" s="424" t="s">
        <v>343</v>
      </c>
      <c r="C15" s="413"/>
      <c r="D15" s="413"/>
      <c r="E15" s="416" t="s">
        <v>71</v>
      </c>
      <c r="F15" s="416"/>
      <c r="G15" s="417"/>
      <c r="H15" s="90"/>
    </row>
    <row r="16" spans="1:11" ht="24.75" hidden="1" customHeight="1" x14ac:dyDescent="0.25">
      <c r="B16" s="137"/>
      <c r="C16" s="413" t="s">
        <v>79</v>
      </c>
      <c r="D16" s="413"/>
      <c r="E16" s="416" t="s">
        <v>177</v>
      </c>
      <c r="F16" s="416"/>
      <c r="G16" s="417"/>
      <c r="H16" s="90"/>
    </row>
    <row r="17" spans="1:8" ht="24.75" hidden="1" customHeight="1" thickBot="1" x14ac:dyDescent="0.3">
      <c r="B17" s="137"/>
      <c r="C17" s="413" t="s">
        <v>248</v>
      </c>
      <c r="D17" s="413"/>
      <c r="E17" s="416" t="s">
        <v>71</v>
      </c>
      <c r="F17" s="416"/>
      <c r="G17" s="417"/>
      <c r="H17" s="90"/>
    </row>
    <row r="18" spans="1:8" ht="24.75" customHeight="1" thickBot="1" x14ac:dyDescent="0.3">
      <c r="B18" s="461" t="s">
        <v>345</v>
      </c>
      <c r="C18" s="462"/>
      <c r="D18" s="462"/>
      <c r="E18" s="433" t="s">
        <v>71</v>
      </c>
      <c r="F18" s="433"/>
      <c r="G18" s="434"/>
      <c r="H18" s="90"/>
    </row>
    <row r="19" spans="1:8" ht="31.5" customHeight="1" thickBot="1" x14ac:dyDescent="0.3">
      <c r="B19" s="21"/>
      <c r="C19" s="13"/>
      <c r="D19" s="13"/>
      <c r="E19" s="5"/>
      <c r="F19" s="5"/>
      <c r="G19" s="13"/>
      <c r="H19" s="90"/>
    </row>
    <row r="20" spans="1:8" ht="36" customHeight="1" thickBot="1" x14ac:dyDescent="0.3">
      <c r="A20" s="32" t="s">
        <v>75</v>
      </c>
      <c r="B20" s="471" t="s">
        <v>90</v>
      </c>
      <c r="C20" s="472"/>
      <c r="D20" s="473"/>
      <c r="E20" s="440" t="b">
        <f>IF(AND(E13="Ano",E14="Ano"),"kritéria C,D",IF(AND(E13="Ano",E14="Ne",E15="Ne"),"kritéria C,D",IF(AND(E13="Ano",E14="Ne",E15="Ano"),"kritéria B,C,D",IF(AND(E13="NE",E15="Ne"),"kritéria C,D,E",IF(AND(E13="NE",E15="Ano"),"kritéria B,C,D,E")))))</f>
        <v>0</v>
      </c>
      <c r="F20" s="441"/>
      <c r="G20" s="442" t="s">
        <v>418</v>
      </c>
      <c r="H20" s="490"/>
    </row>
    <row r="21" spans="1:8" ht="16.5" thickBot="1" x14ac:dyDescent="0.3">
      <c r="B21" s="21"/>
      <c r="C21" s="13"/>
      <c r="D21" s="13"/>
      <c r="E21" s="5"/>
      <c r="F21" s="5"/>
      <c r="G21" s="13"/>
      <c r="H21" s="12"/>
    </row>
    <row r="22" spans="1:8" ht="18" customHeight="1" x14ac:dyDescent="0.25">
      <c r="B22" s="457" t="s">
        <v>110</v>
      </c>
      <c r="C22" s="458"/>
      <c r="D22" s="403" t="s">
        <v>61</v>
      </c>
      <c r="E22" s="403" t="s">
        <v>64</v>
      </c>
      <c r="F22" s="28" t="str">
        <f>IF(OR(E20="kritéria B,C,D,E",E20="kritéria B,C,D"),"RELEVANTNÍ","NERELEVANTNÍ")</f>
        <v>NERELEVANTNÍ</v>
      </c>
      <c r="G22" s="13"/>
      <c r="H22" s="12"/>
    </row>
    <row r="23" spans="1:8" ht="18" customHeight="1" x14ac:dyDescent="0.25">
      <c r="B23" s="459"/>
      <c r="C23" s="460"/>
      <c r="D23" s="404"/>
      <c r="E23" s="404"/>
      <c r="F23" s="33" t="str">
        <f>"Rok N  "&amp; IF($E$11&gt;1,$E$11,"")</f>
        <v xml:space="preserve">Rok N  </v>
      </c>
      <c r="G23" s="13"/>
      <c r="H23" s="12"/>
    </row>
    <row r="24" spans="1:8" ht="27.75" customHeight="1" x14ac:dyDescent="0.25">
      <c r="B24" s="407" t="s">
        <v>65</v>
      </c>
      <c r="C24" s="408"/>
      <c r="D24" s="19" t="s">
        <v>91</v>
      </c>
      <c r="E24" s="20" t="s">
        <v>361</v>
      </c>
      <c r="F24" s="2"/>
      <c r="G24" s="13"/>
      <c r="H24" s="12"/>
    </row>
    <row r="25" spans="1:8" ht="51.75" customHeight="1" x14ac:dyDescent="0.25">
      <c r="B25" s="407" t="s">
        <v>174</v>
      </c>
      <c r="C25" s="408"/>
      <c r="D25" s="19" t="s">
        <v>92</v>
      </c>
      <c r="E25" s="20" t="s">
        <v>362</v>
      </c>
      <c r="F25" s="2"/>
      <c r="G25" s="13"/>
      <c r="H25" s="12"/>
    </row>
    <row r="26" spans="1:8" ht="27.75" customHeight="1" x14ac:dyDescent="0.25">
      <c r="B26" s="407" t="s">
        <v>12</v>
      </c>
      <c r="C26" s="408"/>
      <c r="D26" s="19" t="s">
        <v>92</v>
      </c>
      <c r="E26" s="20" t="s">
        <v>362</v>
      </c>
      <c r="F26" s="2"/>
      <c r="G26" s="13"/>
      <c r="H26" s="12"/>
    </row>
    <row r="27" spans="1:8" ht="24.75" customHeight="1" thickBot="1" x14ac:dyDescent="0.3">
      <c r="B27" s="448" t="s">
        <v>17</v>
      </c>
      <c r="C27" s="449"/>
      <c r="D27" s="449"/>
      <c r="E27" s="449"/>
      <c r="F27" s="25" t="str">
        <f>IF(AND((F25+F26)&gt;0,F24&gt;0),"Ne",(IF((ABS(F25+F26))&gt;((F24-(F25+F26))/2),"Ano","Ne")))</f>
        <v>Ne</v>
      </c>
      <c r="G27" s="13"/>
      <c r="H27" s="12"/>
    </row>
    <row r="28" spans="1:8" ht="16.5" thickBot="1" x14ac:dyDescent="0.3">
      <c r="B28" s="21"/>
      <c r="C28" s="12"/>
      <c r="D28" s="12"/>
      <c r="E28" s="9"/>
      <c r="F28" s="5"/>
      <c r="G28" s="13"/>
      <c r="H28" s="12"/>
    </row>
    <row r="29" spans="1:8" ht="36.75" customHeight="1" x14ac:dyDescent="0.25">
      <c r="B29" s="457" t="s">
        <v>102</v>
      </c>
      <c r="C29" s="458"/>
      <c r="D29" s="403" t="s">
        <v>61</v>
      </c>
      <c r="E29" s="403"/>
      <c r="F29" s="28" t="s">
        <v>46</v>
      </c>
      <c r="G29" s="13"/>
      <c r="H29" s="12"/>
    </row>
    <row r="30" spans="1:8" ht="27.75" customHeight="1" x14ac:dyDescent="0.25">
      <c r="B30" s="407" t="s">
        <v>18</v>
      </c>
      <c r="C30" s="408"/>
      <c r="D30" s="447" t="s">
        <v>63</v>
      </c>
      <c r="E30" s="447"/>
      <c r="F30" s="3" t="s">
        <v>71</v>
      </c>
    </row>
    <row r="31" spans="1:8" ht="27.75" customHeight="1" x14ac:dyDescent="0.25">
      <c r="B31" s="407" t="s">
        <v>175</v>
      </c>
      <c r="C31" s="408"/>
      <c r="D31" s="447" t="s">
        <v>69</v>
      </c>
      <c r="E31" s="447"/>
      <c r="F31" s="3" t="s">
        <v>71</v>
      </c>
    </row>
    <row r="32" spans="1:8" ht="24.75" customHeight="1" thickBot="1" x14ac:dyDescent="0.3">
      <c r="B32" s="448" t="s">
        <v>19</v>
      </c>
      <c r="C32" s="449"/>
      <c r="D32" s="449"/>
      <c r="E32" s="449"/>
      <c r="F32" s="25" t="str">
        <f>IF(OR(F30="Ano",F31="Ano"),"Ano","Ne")</f>
        <v>Ne</v>
      </c>
      <c r="G32" s="13"/>
      <c r="H32" s="12"/>
    </row>
    <row r="33" spans="2:9" ht="16.5" thickBot="1" x14ac:dyDescent="0.3">
      <c r="B33" s="21"/>
      <c r="C33" s="12"/>
      <c r="D33" s="12"/>
      <c r="E33" s="9"/>
      <c r="F33" s="5"/>
      <c r="G33" s="13"/>
      <c r="H33" s="12"/>
    </row>
    <row r="34" spans="2:9" ht="36" customHeight="1" x14ac:dyDescent="0.25">
      <c r="B34" s="457" t="s">
        <v>103</v>
      </c>
      <c r="C34" s="458"/>
      <c r="D34" s="403" t="s">
        <v>61</v>
      </c>
      <c r="E34" s="403"/>
      <c r="F34" s="28" t="s">
        <v>46</v>
      </c>
      <c r="G34" s="13"/>
      <c r="H34" s="12"/>
    </row>
    <row r="35" spans="2:9" ht="30" customHeight="1" x14ac:dyDescent="0.25">
      <c r="B35" s="407" t="s">
        <v>517</v>
      </c>
      <c r="C35" s="408"/>
      <c r="D35" s="447" t="s">
        <v>69</v>
      </c>
      <c r="E35" s="447"/>
      <c r="F35" s="3" t="s">
        <v>71</v>
      </c>
      <c r="G35" s="13"/>
      <c r="H35" s="12"/>
    </row>
    <row r="36" spans="2:9" ht="30" customHeight="1" x14ac:dyDescent="0.25">
      <c r="B36" s="407" t="s">
        <v>176</v>
      </c>
      <c r="C36" s="408"/>
      <c r="D36" s="447" t="s">
        <v>69</v>
      </c>
      <c r="E36" s="447"/>
      <c r="F36" s="3" t="s">
        <v>71</v>
      </c>
      <c r="G36" s="13"/>
      <c r="H36" s="12"/>
    </row>
    <row r="37" spans="2:9" ht="24.75" customHeight="1" thickBot="1" x14ac:dyDescent="0.3">
      <c r="B37" s="448" t="s">
        <v>20</v>
      </c>
      <c r="C37" s="449"/>
      <c r="D37" s="449"/>
      <c r="E37" s="449"/>
      <c r="F37" s="25" t="str">
        <f>IF(OR(F35="Ano",F36="Ano"),"Ano","Ne")</f>
        <v>Ne</v>
      </c>
      <c r="G37" s="13"/>
      <c r="H37" s="12"/>
    </row>
    <row r="38" spans="2:9" ht="16.5" thickBot="1" x14ac:dyDescent="0.3">
      <c r="B38" s="21"/>
      <c r="C38" s="12"/>
      <c r="D38" s="12"/>
      <c r="E38" s="9"/>
      <c r="F38" s="5"/>
      <c r="G38" s="13"/>
      <c r="H38" s="12"/>
    </row>
    <row r="39" spans="2:9" ht="36.75" customHeight="1" thickBot="1" x14ac:dyDescent="0.3">
      <c r="B39" s="487" t="s">
        <v>104</v>
      </c>
      <c r="C39" s="488"/>
      <c r="D39" s="488"/>
      <c r="E39" s="488"/>
      <c r="F39" s="26" t="str">
        <f>IF(OR(E20="kritéria A,C,D,E",E20="kritéria B,C,D,E"),"RELEVANTNÍ","NERELEVANTNÍ")</f>
        <v>NERELEVANTNÍ</v>
      </c>
      <c r="G39" s="17"/>
      <c r="H39" s="8"/>
    </row>
    <row r="40" spans="2:9" ht="6.75" customHeight="1" thickBot="1" x14ac:dyDescent="0.3">
      <c r="B40" s="21"/>
      <c r="C40" s="12"/>
      <c r="D40" s="12"/>
      <c r="E40" s="9"/>
      <c r="F40" s="21"/>
      <c r="G40" s="21"/>
      <c r="H40" s="8"/>
    </row>
    <row r="41" spans="2:9" ht="18.75" customHeight="1" x14ac:dyDescent="0.25">
      <c r="B41" s="457" t="s">
        <v>105</v>
      </c>
      <c r="C41" s="458"/>
      <c r="D41" s="403" t="s">
        <v>61</v>
      </c>
      <c r="E41" s="405" t="s">
        <v>98</v>
      </c>
      <c r="F41" s="130" t="s">
        <v>404</v>
      </c>
      <c r="G41" s="131" t="s">
        <v>407</v>
      </c>
      <c r="H41" s="8"/>
    </row>
    <row r="42" spans="2:9" ht="18.75" customHeight="1" x14ac:dyDescent="0.25">
      <c r="B42" s="459"/>
      <c r="C42" s="460"/>
      <c r="D42" s="404"/>
      <c r="E42" s="406"/>
      <c r="F42" s="132" t="str">
        <f>IF($E$11&gt;1,$E$11,"")</f>
        <v/>
      </c>
      <c r="G42" s="301" t="str">
        <f>IF(I42="","",I42-1)</f>
        <v/>
      </c>
      <c r="H42" s="8"/>
      <c r="I42" s="133" t="str">
        <f>IF($E$11&gt;1,$E$11,"")</f>
        <v/>
      </c>
    </row>
    <row r="43" spans="2:9" ht="27.75" customHeight="1" x14ac:dyDescent="0.25">
      <c r="B43" s="407" t="s">
        <v>15</v>
      </c>
      <c r="C43" s="408"/>
      <c r="D43" s="19" t="s">
        <v>91</v>
      </c>
      <c r="E43" s="20" t="s">
        <v>361</v>
      </c>
      <c r="F43" s="1"/>
      <c r="G43" s="2"/>
      <c r="H43" s="8"/>
    </row>
    <row r="44" spans="2:9" ht="27.75" customHeight="1" x14ac:dyDescent="0.25">
      <c r="B44" s="407" t="s">
        <v>99</v>
      </c>
      <c r="C44" s="408"/>
      <c r="D44" s="19" t="s">
        <v>91</v>
      </c>
      <c r="E44" s="20" t="s">
        <v>363</v>
      </c>
      <c r="F44" s="1"/>
      <c r="G44" s="2"/>
      <c r="H44" s="8"/>
    </row>
    <row r="45" spans="2:9" ht="27.75" customHeight="1" x14ac:dyDescent="0.25">
      <c r="B45" s="407" t="s">
        <v>88</v>
      </c>
      <c r="C45" s="408"/>
      <c r="D45" s="408"/>
      <c r="E45" s="408"/>
      <c r="F45" s="6" t="str">
        <f>IF((F43)=0,"NR",(F44/F43))</f>
        <v>NR</v>
      </c>
      <c r="G45" s="7" t="str">
        <f>IF((G43)=0,"NR",(G44/G43))</f>
        <v>NR</v>
      </c>
      <c r="H45" s="8"/>
    </row>
    <row r="46" spans="2:9" ht="25.5" customHeight="1" thickBot="1" x14ac:dyDescent="0.3">
      <c r="B46" s="448" t="s">
        <v>22</v>
      </c>
      <c r="C46" s="449"/>
      <c r="D46" s="449"/>
      <c r="E46" s="449"/>
      <c r="F46" s="10" t="str">
        <f>IF((F43)="0","Ano",IF((F45)&lt;0,"Chyba",IF(F45&gt;7.5,"Ano","Ne")))</f>
        <v>Ano</v>
      </c>
      <c r="G46" s="11" t="str">
        <f>IF((G43)="0","Ano",IF((G45)&lt;0,"Chyba",IF(G45&gt;7.5,"Ano","Ne")))</f>
        <v>Ano</v>
      </c>
      <c r="H46" s="8"/>
    </row>
    <row r="47" spans="2:9" ht="6.75" customHeight="1" thickBot="1" x14ac:dyDescent="0.3">
      <c r="B47" s="21"/>
      <c r="C47" s="12"/>
      <c r="D47" s="12"/>
      <c r="E47" s="9"/>
      <c r="F47" s="21"/>
      <c r="G47" s="21"/>
      <c r="H47" s="8"/>
    </row>
    <row r="48" spans="2:9" ht="18.75" customHeight="1" x14ac:dyDescent="0.25">
      <c r="B48" s="457" t="s">
        <v>106</v>
      </c>
      <c r="C48" s="458"/>
      <c r="D48" s="403" t="s">
        <v>61</v>
      </c>
      <c r="E48" s="405" t="s">
        <v>98</v>
      </c>
      <c r="F48" s="139" t="s">
        <v>404</v>
      </c>
      <c r="G48" s="131" t="s">
        <v>407</v>
      </c>
      <c r="H48" s="8"/>
    </row>
    <row r="49" spans="2:8" ht="18.75" customHeight="1" x14ac:dyDescent="0.25">
      <c r="B49" s="459"/>
      <c r="C49" s="460"/>
      <c r="D49" s="404"/>
      <c r="E49" s="406"/>
      <c r="F49" s="138" t="str">
        <f>F42</f>
        <v/>
      </c>
      <c r="G49" s="133" t="str">
        <f>G42</f>
        <v/>
      </c>
      <c r="H49" s="8"/>
    </row>
    <row r="50" spans="2:8" ht="27.75" customHeight="1" x14ac:dyDescent="0.25">
      <c r="B50" s="407" t="s">
        <v>23</v>
      </c>
      <c r="C50" s="408"/>
      <c r="D50" s="19"/>
      <c r="E50" s="20"/>
      <c r="F50" s="1"/>
      <c r="G50" s="2"/>
      <c r="H50" s="8"/>
    </row>
    <row r="51" spans="2:8" ht="27.75" customHeight="1" x14ac:dyDescent="0.25">
      <c r="B51" s="407" t="s">
        <v>25</v>
      </c>
      <c r="C51" s="408"/>
      <c r="D51" s="489" t="s">
        <v>109</v>
      </c>
      <c r="E51" s="489"/>
      <c r="F51" s="1"/>
      <c r="G51" s="2"/>
      <c r="H51" s="8"/>
    </row>
    <row r="52" spans="2:8" ht="27.75" customHeight="1" x14ac:dyDescent="0.25">
      <c r="B52" s="407" t="s">
        <v>27</v>
      </c>
      <c r="C52" s="408"/>
      <c r="D52" s="19" t="s">
        <v>92</v>
      </c>
      <c r="E52" s="20" t="s">
        <v>362</v>
      </c>
      <c r="F52" s="1"/>
      <c r="G52" s="2"/>
      <c r="H52" s="8"/>
    </row>
    <row r="53" spans="2:8" ht="27.75" customHeight="1" x14ac:dyDescent="0.25">
      <c r="B53" s="407" t="s">
        <v>89</v>
      </c>
      <c r="C53" s="408"/>
      <c r="D53" s="408"/>
      <c r="E53" s="408"/>
      <c r="F53" s="6" t="str">
        <f>IF(F51=0,"NR",(F50+F51+F52)/F51)</f>
        <v>NR</v>
      </c>
      <c r="G53" s="7" t="str">
        <f>IF(G51=0,"NR",(G50+G51+G52)/G51)</f>
        <v>NR</v>
      </c>
      <c r="H53" s="8"/>
    </row>
    <row r="54" spans="2:8" ht="24.75" customHeight="1" thickBot="1" x14ac:dyDescent="0.3">
      <c r="B54" s="448" t="s">
        <v>107</v>
      </c>
      <c r="C54" s="449"/>
      <c r="D54" s="449"/>
      <c r="E54" s="449"/>
      <c r="F54" s="10" t="str">
        <f>IF((F53)="NR","NR",IF((F53)&lt;1,"Ano","Ne"))</f>
        <v>NR</v>
      </c>
      <c r="G54" s="11" t="str">
        <f>IF((G53)="NR","NR",IF((G53)&lt;1,"Ano","Ne"))</f>
        <v>NR</v>
      </c>
      <c r="H54" s="8"/>
    </row>
    <row r="55" spans="2:8" ht="6.75" customHeight="1" thickBot="1" x14ac:dyDescent="0.3">
      <c r="B55" s="21"/>
      <c r="C55" s="12"/>
      <c r="D55" s="12"/>
      <c r="E55" s="9"/>
      <c r="F55" s="5"/>
      <c r="G55" s="13"/>
      <c r="H55" s="12"/>
    </row>
    <row r="56" spans="2:8" ht="24.75" customHeight="1" thickBot="1" x14ac:dyDescent="0.3">
      <c r="B56" s="468" t="s">
        <v>29</v>
      </c>
      <c r="C56" s="469"/>
      <c r="D56" s="469"/>
      <c r="E56" s="470"/>
      <c r="F56" s="14" t="str">
        <f>IF(AND(F46="ANO",G46="Ano",F54="Ano",G54="Ano"),"Ano","Ne")</f>
        <v>Ne</v>
      </c>
      <c r="G56" s="13"/>
      <c r="H56" s="15"/>
    </row>
    <row r="57" spans="2:8" ht="22.5" customHeight="1" thickBot="1" x14ac:dyDescent="0.3">
      <c r="B57" s="21"/>
      <c r="C57" s="12"/>
      <c r="D57" s="12"/>
      <c r="E57" s="9"/>
      <c r="F57" s="5"/>
      <c r="G57" s="13"/>
      <c r="H57" s="12"/>
    </row>
    <row r="58" spans="2:8" ht="56.25" customHeight="1" thickBot="1" x14ac:dyDescent="0.3">
      <c r="B58" s="465" t="s">
        <v>108</v>
      </c>
      <c r="C58" s="466"/>
      <c r="D58" s="466"/>
      <c r="E58" s="467"/>
      <c r="F58" s="16" t="str">
        <f>IF(OR(F27="Ano",F32="Ano",F37="Ano",F56="Ano"),"Ano","Ne")</f>
        <v>Ne</v>
      </c>
      <c r="G58" s="302" t="s">
        <v>416</v>
      </c>
      <c r="H58" s="91"/>
    </row>
    <row r="60" spans="2:8" x14ac:dyDescent="0.25">
      <c r="B60" s="369" t="str">
        <f>IF(F58="Ano","Výsledek testu je pozitivní (žadatel je podnikem v obtížích). Nepokračujte v testu dále, žadateli nelze poskytnout podporu!","")</f>
        <v/>
      </c>
    </row>
    <row r="61" spans="2:8" ht="4.5" customHeight="1" x14ac:dyDescent="0.25"/>
    <row r="62" spans="2:8" x14ac:dyDescent="0.25">
      <c r="B62" s="134" t="str">
        <f>IF(F58="Ano","","Krok 5: Kliknutím na níže uvedené pole dojde k přesměrování na list Skupina podniků")</f>
        <v>Krok 5: Kliknutím na níže uvedené pole dojde k přesměrování na list Skupina podniků</v>
      </c>
    </row>
    <row r="63" spans="2:8" ht="7.5" customHeight="1" x14ac:dyDescent="0.25"/>
    <row r="64" spans="2:8" x14ac:dyDescent="0.25">
      <c r="B64" s="402" t="s">
        <v>417</v>
      </c>
    </row>
    <row r="65" spans="2:2" x14ac:dyDescent="0.25">
      <c r="B65" s="402"/>
    </row>
  </sheetData>
  <sheetProtection algorithmName="SHA-512" hashValue="7E5MJJobNZJukSJMQxpLlxcvTd7tCGXt/bNay6aVTtdYW9hNwP+s6vtfBNMJWP10S3o6hOxjvQoJyeWowE18Rg==" saltValue="aPA4CDd5sDlJqKRUhI1V8w==" spinCount="100000" sheet="1" selectLockedCells="1"/>
  <mergeCells count="73">
    <mergeCell ref="B64:B65"/>
    <mergeCell ref="B51:C51"/>
    <mergeCell ref="B27:E27"/>
    <mergeCell ref="B29:C29"/>
    <mergeCell ref="D29:E29"/>
    <mergeCell ref="D30:E30"/>
    <mergeCell ref="D31:E31"/>
    <mergeCell ref="D51:E51"/>
    <mergeCell ref="B52:C52"/>
    <mergeCell ref="B53:E53"/>
    <mergeCell ref="B54:E54"/>
    <mergeCell ref="B56:E56"/>
    <mergeCell ref="E41:E42"/>
    <mergeCell ref="B30:C30"/>
    <mergeCell ref="B35:C35"/>
    <mergeCell ref="B50:C50"/>
    <mergeCell ref="B58:E58"/>
    <mergeCell ref="B37:E37"/>
    <mergeCell ref="B39:E39"/>
    <mergeCell ref="B41:C42"/>
    <mergeCell ref="B43:C43"/>
    <mergeCell ref="B44:C44"/>
    <mergeCell ref="D48:D49"/>
    <mergeCell ref="B45:E45"/>
    <mergeCell ref="B46:E46"/>
    <mergeCell ref="B48:C49"/>
    <mergeCell ref="E48:E49"/>
    <mergeCell ref="D41:D42"/>
    <mergeCell ref="I11:K11"/>
    <mergeCell ref="B13:D13"/>
    <mergeCell ref="E11:G11"/>
    <mergeCell ref="E4:G4"/>
    <mergeCell ref="C5:D5"/>
    <mergeCell ref="E5:G5"/>
    <mergeCell ref="E6:G6"/>
    <mergeCell ref="E7:G7"/>
    <mergeCell ref="B4:D4"/>
    <mergeCell ref="B6:D6"/>
    <mergeCell ref="B7:D7"/>
    <mergeCell ref="B8:D8"/>
    <mergeCell ref="B9:D9"/>
    <mergeCell ref="E8:G8"/>
    <mergeCell ref="E9:G9"/>
    <mergeCell ref="E10:G10"/>
    <mergeCell ref="E13:G13"/>
    <mergeCell ref="C14:D14"/>
    <mergeCell ref="E14:G14"/>
    <mergeCell ref="E15:G15"/>
    <mergeCell ref="C10:D10"/>
    <mergeCell ref="C11:D11"/>
    <mergeCell ref="C16:D16"/>
    <mergeCell ref="E16:G16"/>
    <mergeCell ref="B15:D15"/>
    <mergeCell ref="B22:C23"/>
    <mergeCell ref="G20:H20"/>
    <mergeCell ref="C17:D17"/>
    <mergeCell ref="E17:G17"/>
    <mergeCell ref="E20:F20"/>
    <mergeCell ref="E18:G18"/>
    <mergeCell ref="B18:D18"/>
    <mergeCell ref="B20:D20"/>
    <mergeCell ref="D22:D23"/>
    <mergeCell ref="E22:E23"/>
    <mergeCell ref="B36:C36"/>
    <mergeCell ref="B24:C24"/>
    <mergeCell ref="B25:C25"/>
    <mergeCell ref="B26:C26"/>
    <mergeCell ref="D35:E35"/>
    <mergeCell ref="D36:E36"/>
    <mergeCell ref="B31:C31"/>
    <mergeCell ref="B32:E32"/>
    <mergeCell ref="B34:C34"/>
    <mergeCell ref="D34:E34"/>
  </mergeCells>
  <conditionalFormatting sqref="B1:B3 A4 B5 B12 B14 B16:B17 B19 A20 B21 B28">
    <cfRule type="beginsWith" dxfId="286" priority="26" operator="beginsWith" text="RE">
      <formula>LEFT(A1,LEN("RE"))="RE"</formula>
    </cfRule>
    <cfRule type="containsText" dxfId="285" priority="27" operator="containsText" text="&quot;RELEVANTNÍ&quot;">
      <formula>NOT(ISERROR(SEARCH("""RELEVANTNÍ""",A1)))</formula>
    </cfRule>
  </conditionalFormatting>
  <conditionalFormatting sqref="B33">
    <cfRule type="beginsWith" dxfId="284" priority="42" operator="beginsWith" text="RE">
      <formula>LEFT(B33,LEN("RE"))="RE"</formula>
    </cfRule>
    <cfRule type="containsText" dxfId="283" priority="43" operator="containsText" text="&quot;RELEVANTNÍ&quot;">
      <formula>NOT(ISERROR(SEARCH("""RELEVANTNÍ""",B33)))</formula>
    </cfRule>
  </conditionalFormatting>
  <conditionalFormatting sqref="B38 B40 B47 B55 B57 B59:B61">
    <cfRule type="beginsWith" dxfId="282" priority="16" operator="beginsWith" text="RE">
      <formula>LEFT(B38,LEN("RE"))="RE"</formula>
    </cfRule>
    <cfRule type="containsText" dxfId="281" priority="17" operator="containsText" text="&quot;RELEVANTNÍ&quot;">
      <formula>NOT(ISERROR(SEARCH("""RELEVANTNÍ""",B38)))</formula>
    </cfRule>
  </conditionalFormatting>
  <conditionalFormatting sqref="F23 F32:G41 F42 I42:I45">
    <cfRule type="beginsWith" dxfId="279" priority="6" operator="beginsWith" text="RE">
      <formula>LEFT(F23,LEN("RE"))="RE"</formula>
    </cfRule>
  </conditionalFormatting>
  <conditionalFormatting sqref="F24:F26">
    <cfRule type="expression" dxfId="278" priority="24">
      <formula>$F$22="NERELEVANTNÍ"</formula>
    </cfRule>
  </conditionalFormatting>
  <conditionalFormatting sqref="F25:F26">
    <cfRule type="beginsWith" dxfId="277" priority="25" operator="beginsWith" text="RE">
      <formula>LEFT(F25,LEN("RE"))="RE"</formula>
    </cfRule>
  </conditionalFormatting>
  <conditionalFormatting sqref="F27 F32 F37 F56">
    <cfRule type="containsText" dxfId="276" priority="45" operator="containsText" text="Ano">
      <formula>NOT(ISERROR(SEARCH("Ano",F27)))</formula>
    </cfRule>
  </conditionalFormatting>
  <conditionalFormatting sqref="F27 F56 F32 F37">
    <cfRule type="containsText" dxfId="275" priority="44" operator="containsText" text="Ne">
      <formula>NOT(ISERROR(SEARCH("Ne",F27)))</formula>
    </cfRule>
  </conditionalFormatting>
  <conditionalFormatting sqref="F30:F31">
    <cfRule type="beginsWith" dxfId="274" priority="9" operator="beginsWith" text="RE">
      <formula>LEFT(F30,LEN("RE"))="RE"</formula>
    </cfRule>
  </conditionalFormatting>
  <conditionalFormatting sqref="F58">
    <cfRule type="beginsWith" dxfId="273" priority="12" operator="beginsWith" text="RE">
      <formula>LEFT(F58,LEN("RE"))="RE"</formula>
    </cfRule>
    <cfRule type="containsText" dxfId="272" priority="13" operator="containsText" text="Ne">
      <formula>NOT(ISERROR(SEARCH("Ne",F58)))</formula>
    </cfRule>
    <cfRule type="containsText" dxfId="271" priority="14" operator="containsText" text="Ano">
      <formula>NOT(ISERROR(SEARCH("Ano",F58)))</formula>
    </cfRule>
  </conditionalFormatting>
  <conditionalFormatting sqref="F1:G7 F10:G10 F12:G17">
    <cfRule type="beginsWith" dxfId="270" priority="28" operator="beginsWith" text="RE">
      <formula>LEFT(F1,LEN("RE"))="RE"</formula>
    </cfRule>
  </conditionalFormatting>
  <conditionalFormatting sqref="F19:G19 F20 F21:G22 G23:G26 F27:G29 F59:G62">
    <cfRule type="beginsWith" dxfId="269" priority="41" operator="beginsWith" text="RE">
      <formula>LEFT(F19,LEN("RE"))="RE"</formula>
    </cfRule>
  </conditionalFormatting>
  <conditionalFormatting sqref="F43:G44">
    <cfRule type="expression" dxfId="268" priority="20">
      <formula>$F$39="NERELEVANTNÍ"</formula>
    </cfRule>
  </conditionalFormatting>
  <conditionalFormatting sqref="F44:G44">
    <cfRule type="beginsWith" dxfId="267" priority="21" operator="beginsWith" text="RE">
      <formula>LEFT(F44,LEN("RE"))="RE"</formula>
    </cfRule>
  </conditionalFormatting>
  <conditionalFormatting sqref="F45:G49">
    <cfRule type="beginsWith" dxfId="266" priority="4" operator="beginsWith" text="RE">
      <formula>LEFT(F45,LEN("RE"))="RE"</formula>
    </cfRule>
  </conditionalFormatting>
  <conditionalFormatting sqref="F50:G52">
    <cfRule type="expression" dxfId="265" priority="18">
      <formula>$F$39="NERELEVANTNÍ"</formula>
    </cfRule>
  </conditionalFormatting>
  <conditionalFormatting sqref="F51:G51">
    <cfRule type="beginsWith" dxfId="264" priority="19" operator="beginsWith" text="RE">
      <formula>LEFT(F51,LEN("RE"))="RE"</formula>
    </cfRule>
  </conditionalFormatting>
  <conditionalFormatting sqref="F53:G57">
    <cfRule type="beginsWith" dxfId="263" priority="29" operator="beginsWith" text="RE">
      <formula>LEFT(F53,LEN("RE"))="RE"</formula>
    </cfRule>
  </conditionalFormatting>
  <conditionalFormatting sqref="I50:I52">
    <cfRule type="beginsWith" dxfId="261" priority="37" operator="beginsWith" text="RE">
      <formula>LEFT(I50,LEN("RE"))="RE"</formula>
    </cfRule>
  </conditionalFormatting>
  <hyperlinks>
    <hyperlink ref="B64:B65" location="'3. Skupina podniků'!A1" display="SKUPINA PODNIKŮ" xr:uid="{15CE7ECF-3818-4710-918A-2DA26012885A}"/>
  </hyperlinks>
  <pageMargins left="0.25" right="0.25" top="0.75" bottom="0.75" header="0.3" footer="0.3"/>
  <pageSetup paperSize="9" scale="65" fitToHeight="0" orientation="portrait" r:id="rId1"/>
  <rowBreaks count="1" manualBreakCount="1">
    <brk id="46" max="16383" man="1"/>
  </rowBreaks>
  <drawing r:id="rId2"/>
  <extLst>
    <ext xmlns:x14="http://schemas.microsoft.com/office/spreadsheetml/2009/9/main" uri="{78C0D931-6437-407d-A8EE-F0AAD7539E65}">
      <x14:conditionalFormattings>
        <x14:conditionalFormatting xmlns:xm="http://schemas.microsoft.com/office/excel/2006/main">
          <x14:cfRule type="beginsWith" priority="1" operator="beginsWith" text="RE" id="{CC56695B-6295-44AD-86DF-0C0AB5CC5B32}">
            <xm:f>LEFT('Podnikatel (500)'!B50,LEN("RE"))="RE"</xm:f>
            <x14:dxf>
              <font>
                <color rgb="FF9C0006"/>
              </font>
              <fill>
                <patternFill>
                  <fgColor auto="1"/>
                  <bgColor theme="7" tint="0.79998168889431442"/>
                </patternFill>
              </fill>
            </x14:dxf>
          </x14:cfRule>
          <xm:sqref>B62</xm:sqref>
        </x14:conditionalFormatting>
        <x14:conditionalFormatting xmlns:xm="http://schemas.microsoft.com/office/excel/2006/main">
          <x14:cfRule type="beginsWith" priority="2" operator="beginsWith" text="RE" id="{937D4D16-CD32-48F0-94A2-FD8E4127A1E7}">
            <xm:f>LEFT('Podnikatel (500)'!F52,LEN("RE"))="RE"</xm:f>
            <x14:dxf>
              <font>
                <color rgb="FF9C0006"/>
              </font>
              <fill>
                <patternFill>
                  <fgColor auto="1"/>
                  <bgColor theme="7" tint="0.79998168889431442"/>
                </patternFill>
              </fill>
            </x14:dxf>
          </x14:cfRule>
          <xm:sqref>G58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'typy žadatelů'!$D$3:$D$7</xm:f>
          </x14:formula1>
          <xm:sqref>E16:G16</xm:sqref>
        </x14:dataValidation>
        <x14:dataValidation type="list" allowBlank="1" showErrorMessage="1" promptTitle="Vyberte" xr:uid="{00000000-0002-0000-0400-000001000000}">
          <x14:formula1>
            <xm:f>'typy žadatelů'!$B$78:$B$80</xm:f>
          </x14:formula1>
          <xm:sqref>F30:F31 F35:F36</xm:sqref>
        </x14:dataValidation>
        <x14:dataValidation type="list" allowBlank="1" showInputMessage="1" showErrorMessage="1" xr:uid="{00000000-0002-0000-0400-000002000000}">
          <x14:formula1>
            <xm:f>'typy žadatelů'!$B$78:$B$80</xm:f>
          </x14:formula1>
          <xm:sqref>E13:G15 E17:G17</xm:sqref>
        </x14:dataValidation>
        <x14:dataValidation type="list" allowBlank="1" showInputMessage="1" showErrorMessage="1" xr:uid="{00000000-0002-0000-0400-000003000000}">
          <x14:formula1>
            <xm:f>Výpočty!$B$35:$B$37</xm:f>
          </x14:formula1>
          <xm:sqref>E18:G18</xm:sqref>
        </x14:dataValidation>
        <x14:dataValidation type="list" allowBlank="1" showInputMessage="1" showErrorMessage="1" xr:uid="{A358FE91-3C3B-4EDA-A04B-5EF92CF054DA}">
          <x14:formula1>
            <xm:f>Výpočty!$B$12:$B$16</xm:f>
          </x14:formula1>
          <xm:sqref>E8:G8</xm:sqref>
        </x14:dataValidation>
        <x14:dataValidation type="list" allowBlank="1" showInputMessage="1" showErrorMessage="1" xr:uid="{0FA3096F-495F-44B1-8649-27826D37580B}">
          <x14:formula1>
            <xm:f>Výpočty!$B$18:$B$20</xm:f>
          </x14:formula1>
          <xm:sqref>E9:G9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K61"/>
  <sheetViews>
    <sheetView showGridLines="0" topLeftCell="A25" zoomScale="109" zoomScaleNormal="131" workbookViewId="0">
      <selection activeCell="G49" sqref="G49"/>
    </sheetView>
  </sheetViews>
  <sheetFormatPr defaultColWidth="11" defaultRowHeight="14.25" x14ac:dyDescent="0.25"/>
  <cols>
    <col min="1" max="1" width="5.75" style="5" customWidth="1"/>
    <col min="2" max="2" width="62.75" style="13" customWidth="1"/>
    <col min="3" max="3" width="9.625" style="17" customWidth="1"/>
    <col min="4" max="4" width="9.625" style="5" customWidth="1"/>
    <col min="5" max="5" width="17" style="5" customWidth="1"/>
    <col min="6" max="6" width="15.5" style="13" customWidth="1"/>
    <col min="7" max="7" width="23.75" style="12" customWidth="1"/>
    <col min="8" max="11" width="11" style="9"/>
    <col min="12" max="16384" width="11" style="5"/>
  </cols>
  <sheetData>
    <row r="2" spans="1:7" ht="18" x14ac:dyDescent="0.25">
      <c r="B2" s="35" t="s">
        <v>272</v>
      </c>
      <c r="C2" s="36"/>
    </row>
    <row r="3" spans="1:7" ht="11.65" customHeight="1" thickBot="1" x14ac:dyDescent="0.3"/>
    <row r="4" spans="1:7" ht="21" customHeight="1" x14ac:dyDescent="0.25">
      <c r="A4" s="32" t="s">
        <v>74</v>
      </c>
      <c r="B4" s="421" t="s">
        <v>80</v>
      </c>
      <c r="C4" s="422"/>
      <c r="D4" s="503">
        <f>'2. Účetnictví'!E4</f>
        <v>0</v>
      </c>
      <c r="E4" s="503"/>
      <c r="F4" s="504"/>
      <c r="G4" s="48" t="s">
        <v>252</v>
      </c>
    </row>
    <row r="5" spans="1:7" ht="21" hidden="1" customHeight="1" x14ac:dyDescent="0.25">
      <c r="A5" s="21"/>
      <c r="B5" s="424" t="s">
        <v>0</v>
      </c>
      <c r="C5" s="413"/>
      <c r="D5" s="505"/>
      <c r="E5" s="505"/>
      <c r="F5" s="506"/>
      <c r="G5" s="15"/>
    </row>
    <row r="6" spans="1:7" ht="21" customHeight="1" x14ac:dyDescent="0.25">
      <c r="A6" s="21"/>
      <c r="B6" s="424" t="s">
        <v>1</v>
      </c>
      <c r="C6" s="413"/>
      <c r="D6" s="507">
        <f>'2. Účetnictví'!E6</f>
        <v>0</v>
      </c>
      <c r="E6" s="505"/>
      <c r="F6" s="506"/>
      <c r="G6" s="15"/>
    </row>
    <row r="7" spans="1:7" ht="19.149999999999999" customHeight="1" x14ac:dyDescent="0.25">
      <c r="A7" s="21"/>
      <c r="B7" s="424" t="s">
        <v>246</v>
      </c>
      <c r="C7" s="413"/>
      <c r="D7" s="508">
        <f>'2. Účetnictví'!E8</f>
        <v>42222</v>
      </c>
      <c r="E7" s="508"/>
      <c r="F7" s="509"/>
      <c r="G7" s="34"/>
    </row>
    <row r="8" spans="1:7" ht="21" customHeight="1" thickBot="1" x14ac:dyDescent="0.3">
      <c r="A8" s="21"/>
      <c r="B8" s="461" t="s">
        <v>275</v>
      </c>
      <c r="C8" s="462"/>
      <c r="D8" s="510" t="str">
        <f>'2. Účetnictví'!E11</f>
        <v/>
      </c>
      <c r="E8" s="510"/>
      <c r="F8" s="511"/>
    </row>
    <row r="9" spans="1:7" ht="10.15" customHeight="1" thickBot="1" x14ac:dyDescent="0.3">
      <c r="A9" s="21"/>
    </row>
    <row r="10" spans="1:7" ht="21" customHeight="1" x14ac:dyDescent="0.25">
      <c r="A10" s="21"/>
      <c r="B10" s="421" t="s">
        <v>262</v>
      </c>
      <c r="C10" s="422"/>
      <c r="D10" s="512" t="str">
        <f>'2. Účetnictví'!E16</f>
        <v>Vyberte variantu</v>
      </c>
      <c r="E10" s="512"/>
      <c r="F10" s="513"/>
      <c r="G10" s="48" t="s">
        <v>251</v>
      </c>
    </row>
    <row r="11" spans="1:7" s="9" customFormat="1" ht="21" customHeight="1" x14ac:dyDescent="0.25">
      <c r="A11" s="21"/>
      <c r="B11" s="459" t="s">
        <v>256</v>
      </c>
      <c r="C11" s="460"/>
      <c r="D11" s="439" t="str">
        <f>'2. Účetnictví'!E17</f>
        <v>Vyberte variantu</v>
      </c>
      <c r="E11" s="439"/>
      <c r="F11" s="514"/>
      <c r="G11" s="12"/>
    </row>
    <row r="12" spans="1:7" s="9" customFormat="1" ht="21" customHeight="1" x14ac:dyDescent="0.25">
      <c r="A12" s="21"/>
      <c r="B12" s="424" t="s">
        <v>263</v>
      </c>
      <c r="C12" s="413"/>
      <c r="D12" s="439" t="str">
        <f>'2. Účetnictví'!E18</f>
        <v>Vyberte variantu</v>
      </c>
      <c r="E12" s="439"/>
      <c r="F12" s="514"/>
      <c r="G12" s="12"/>
    </row>
    <row r="13" spans="1:7" s="9" customFormat="1" ht="33.6" customHeight="1" thickBot="1" x14ac:dyDescent="0.3">
      <c r="A13" s="21"/>
      <c r="B13" s="461" t="s">
        <v>236</v>
      </c>
      <c r="C13" s="462"/>
      <c r="D13" s="515" t="str">
        <f>Výpočty!D46</f>
        <v/>
      </c>
      <c r="E13" s="515"/>
      <c r="F13" s="516"/>
      <c r="G13" s="12"/>
    </row>
    <row r="14" spans="1:7" s="9" customFormat="1" ht="21" hidden="1" customHeight="1" x14ac:dyDescent="0.25">
      <c r="A14" s="21"/>
      <c r="B14" s="428" t="s">
        <v>79</v>
      </c>
      <c r="C14" s="429"/>
      <c r="D14" s="68"/>
      <c r="E14" s="68"/>
      <c r="F14" s="69"/>
      <c r="G14" s="12"/>
    </row>
    <row r="15" spans="1:7" s="9" customFormat="1" ht="21" hidden="1" customHeight="1" thickBot="1" x14ac:dyDescent="0.3">
      <c r="A15" s="21"/>
      <c r="B15" s="461" t="s">
        <v>248</v>
      </c>
      <c r="C15" s="462"/>
      <c r="D15" s="515"/>
      <c r="E15" s="515"/>
      <c r="F15" s="516"/>
      <c r="G15" s="12"/>
    </row>
    <row r="17" spans="1:7" ht="15" thickBot="1" x14ac:dyDescent="0.3"/>
    <row r="18" spans="1:7" s="9" customFormat="1" ht="20.25" customHeight="1" thickBot="1" x14ac:dyDescent="0.3">
      <c r="A18" s="32" t="s">
        <v>75</v>
      </c>
      <c r="B18" s="485" t="s">
        <v>90</v>
      </c>
      <c r="C18" s="486"/>
      <c r="D18" s="44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41"/>
      <c r="F18" s="48" t="s">
        <v>254</v>
      </c>
      <c r="G18"/>
    </row>
    <row r="19" spans="1:7" s="9" customFormat="1" ht="7.9" customHeight="1" thickBot="1" x14ac:dyDescent="0.3">
      <c r="A19" s="32"/>
      <c r="B19" s="12"/>
      <c r="C19" s="12"/>
      <c r="D19" s="12"/>
      <c r="E19" s="12"/>
      <c r="F19" s="12"/>
      <c r="G19" s="12"/>
    </row>
    <row r="20" spans="1:7" s="9" customFormat="1" ht="20.25" customHeight="1" x14ac:dyDescent="0.25">
      <c r="A20" s="32"/>
      <c r="B20" s="421" t="s">
        <v>397</v>
      </c>
      <c r="C20" s="445" t="s">
        <v>61</v>
      </c>
      <c r="D20" s="520" t="s">
        <v>64</v>
      </c>
      <c r="E20" s="28" t="str">
        <f>IF(OR(D18="kritéria A,C,D,E",D18="kritéria A,C,D"),"RELEVANTNÍ","NERELEVANTNÍ")</f>
        <v>NERELEVANTNÍ</v>
      </c>
      <c r="F20" s="12"/>
      <c r="G20" s="12"/>
    </row>
    <row r="21" spans="1:7" s="9" customFormat="1" ht="20.25" customHeight="1" x14ac:dyDescent="0.25">
      <c r="A21" s="32"/>
      <c r="B21" s="424"/>
      <c r="C21" s="446"/>
      <c r="D21" s="521"/>
      <c r="E21" s="33" t="str">
        <f>IF($D$8&gt;1,$D$8,"")</f>
        <v/>
      </c>
      <c r="F21" s="12"/>
      <c r="G21" s="12"/>
    </row>
    <row r="22" spans="1:7" s="9" customFormat="1" ht="20.25" customHeight="1" x14ac:dyDescent="0.25">
      <c r="A22" s="32"/>
      <c r="B22" s="29" t="s">
        <v>15</v>
      </c>
      <c r="C22" s="30" t="s">
        <v>293</v>
      </c>
      <c r="D22" s="37" t="s">
        <v>37</v>
      </c>
      <c r="E22" s="50">
        <f>'2. Účetnictví'!F28</f>
        <v>0</v>
      </c>
      <c r="F22" s="12"/>
      <c r="G22" s="12"/>
    </row>
    <row r="23" spans="1:7" s="9" customFormat="1" ht="20.25" customHeight="1" x14ac:dyDescent="0.25">
      <c r="A23" s="32"/>
      <c r="B23" s="29" t="s">
        <v>30</v>
      </c>
      <c r="C23" s="30" t="s">
        <v>293</v>
      </c>
      <c r="D23" s="31" t="s">
        <v>239</v>
      </c>
      <c r="E23" s="50">
        <f>'2. Účetnictví'!F29</f>
        <v>0</v>
      </c>
      <c r="F23" s="517" t="s">
        <v>240</v>
      </c>
      <c r="G23" s="518"/>
    </row>
    <row r="24" spans="1:7" s="9" customFormat="1" ht="20.25" customHeight="1" x14ac:dyDescent="0.25">
      <c r="A24" s="32"/>
      <c r="B24" s="29" t="s">
        <v>72</v>
      </c>
      <c r="C24" s="30" t="s">
        <v>293</v>
      </c>
      <c r="D24" s="31" t="s">
        <v>239</v>
      </c>
      <c r="E24" s="50">
        <f>'2. Účetnictví'!F30</f>
        <v>0</v>
      </c>
      <c r="F24" s="517"/>
      <c r="G24" s="518"/>
    </row>
    <row r="25" spans="1:7" s="9" customFormat="1" ht="20.25" customHeight="1" thickBot="1" x14ac:dyDescent="0.3">
      <c r="A25" s="32"/>
      <c r="B25" s="522" t="s">
        <v>14</v>
      </c>
      <c r="C25" s="523"/>
      <c r="D25" s="524"/>
      <c r="E25" s="25" t="str">
        <f>IF((E22)&lt;0,"Ano",IF(E22&lt;((E23+E24)/2),"Ano","Ne"))</f>
        <v>Ne</v>
      </c>
      <c r="F25" s="12"/>
      <c r="G25" s="12"/>
    </row>
    <row r="26" spans="1:7" ht="8.25" customHeight="1" thickBot="1" x14ac:dyDescent="0.3">
      <c r="D26" s="21"/>
      <c r="E26" s="21"/>
      <c r="G26" s="8"/>
    </row>
    <row r="27" spans="1:7" s="9" customFormat="1" ht="20.25" customHeight="1" x14ac:dyDescent="0.25">
      <c r="A27" s="5"/>
      <c r="B27" s="525" t="s">
        <v>317</v>
      </c>
      <c r="C27" s="520" t="s">
        <v>61</v>
      </c>
      <c r="D27" s="520" t="s">
        <v>64</v>
      </c>
      <c r="E27" s="28" t="str">
        <f>IF(OR(D18="kritéria B,C,D",D18="kritéria B,C,D,E"),"RELEVANTNÍ","NERELEVANTNÍ")</f>
        <v>NERELEVANTNÍ</v>
      </c>
      <c r="F27" s="13"/>
      <c r="G27" s="8"/>
    </row>
    <row r="28" spans="1:7" s="9" customFormat="1" ht="20.25" customHeight="1" x14ac:dyDescent="0.25">
      <c r="A28" s="5"/>
      <c r="B28" s="526"/>
      <c r="C28" s="521"/>
      <c r="D28" s="521"/>
      <c r="E28" s="33" t="str">
        <f>IF($D$8&gt;1,$D$8,"")</f>
        <v/>
      </c>
      <c r="F28" s="13"/>
      <c r="G28" s="8"/>
    </row>
    <row r="29" spans="1:7" s="9" customFormat="1" ht="17.25" customHeight="1" x14ac:dyDescent="0.25">
      <c r="A29" s="5"/>
      <c r="B29" s="29" t="s">
        <v>65</v>
      </c>
      <c r="C29" s="30" t="s">
        <v>293</v>
      </c>
      <c r="D29" s="20" t="s">
        <v>37</v>
      </c>
      <c r="E29" s="52">
        <f>'2. Účetnictví'!F35</f>
        <v>0</v>
      </c>
      <c r="F29" s="13"/>
      <c r="G29" s="8"/>
    </row>
    <row r="30" spans="1:7" s="9" customFormat="1" ht="17.25" customHeight="1" x14ac:dyDescent="0.25">
      <c r="A30" s="5"/>
      <c r="B30" s="29" t="s">
        <v>16</v>
      </c>
      <c r="C30" s="30" t="s">
        <v>293</v>
      </c>
      <c r="D30" s="20" t="s">
        <v>41</v>
      </c>
      <c r="E30" s="52">
        <f>'2. Účetnictví'!F36</f>
        <v>0</v>
      </c>
      <c r="F30" s="13"/>
      <c r="G30" s="8"/>
    </row>
    <row r="31" spans="1:7" s="9" customFormat="1" ht="17.25" customHeight="1" x14ac:dyDescent="0.25">
      <c r="A31" s="5"/>
      <c r="B31" s="38" t="s">
        <v>315</v>
      </c>
      <c r="C31" s="39" t="s">
        <v>229</v>
      </c>
      <c r="D31" s="40" t="s">
        <v>229</v>
      </c>
      <c r="E31" s="53">
        <f>'2. Účetnictví'!F37</f>
        <v>0</v>
      </c>
      <c r="F31" s="13"/>
      <c r="G31" s="8"/>
    </row>
    <row r="32" spans="1:7" s="9" customFormat="1" ht="17.25" customHeight="1" thickBot="1" x14ac:dyDescent="0.3">
      <c r="A32" s="5"/>
      <c r="B32" s="450" t="s">
        <v>17</v>
      </c>
      <c r="C32" s="451"/>
      <c r="D32" s="451"/>
      <c r="E32" s="25" t="str">
        <f>IF(AND((E30)&gt;0,E29&gt;0),"Ne",(IF((ABS(E30))&gt;((E29-(E30))/2),"Ano","Ne")))</f>
        <v>Ne</v>
      </c>
      <c r="F32" s="13"/>
      <c r="G32" s="8"/>
    </row>
    <row r="34" spans="2:7" s="9" customFormat="1" ht="20.25" customHeight="1" x14ac:dyDescent="0.25">
      <c r="B34" s="27" t="s">
        <v>102</v>
      </c>
      <c r="C34" s="403" t="s">
        <v>61</v>
      </c>
      <c r="D34" s="403"/>
      <c r="E34" s="28" t="s">
        <v>46</v>
      </c>
      <c r="F34" s="13"/>
      <c r="G34" s="12"/>
    </row>
    <row r="35" spans="2:7" s="9" customFormat="1" ht="17.25" customHeight="1" x14ac:dyDescent="0.25">
      <c r="B35" s="44" t="s">
        <v>323</v>
      </c>
      <c r="C35" s="527" t="s">
        <v>63</v>
      </c>
      <c r="D35" s="528"/>
      <c r="E35" s="70" t="str">
        <f>'2. Účetnictví'!F41</f>
        <v>Vyberte variantu</v>
      </c>
      <c r="F35" s="519" t="s">
        <v>325</v>
      </c>
      <c r="G35" s="519"/>
    </row>
    <row r="36" spans="2:7" s="9" customFormat="1" ht="23.1" customHeight="1" x14ac:dyDescent="0.25">
      <c r="B36" s="44" t="s">
        <v>324</v>
      </c>
      <c r="C36" s="527" t="s">
        <v>69</v>
      </c>
      <c r="D36" s="528"/>
      <c r="E36" s="70" t="str">
        <f>'2. Účetnictví'!F42</f>
        <v>Vyberte variantu</v>
      </c>
      <c r="F36" s="519"/>
      <c r="G36" s="519"/>
    </row>
    <row r="37" spans="2:7" s="9" customFormat="1" ht="17.25" customHeight="1" thickBot="1" x14ac:dyDescent="0.3">
      <c r="B37" s="448" t="s">
        <v>19</v>
      </c>
      <c r="C37" s="449"/>
      <c r="D37" s="449"/>
      <c r="E37" s="25" t="str">
        <f>IF(OR(E35="Ano",E36="Ano"),"Ano","Ne")</f>
        <v>Ne</v>
      </c>
      <c r="F37" s="43"/>
      <c r="G37" s="12"/>
    </row>
    <row r="38" spans="2:7" s="9" customFormat="1" ht="10.15" customHeight="1" thickBot="1" x14ac:dyDescent="0.3">
      <c r="B38" s="12"/>
      <c r="C38" s="8"/>
      <c r="E38" s="5"/>
      <c r="F38" s="13"/>
      <c r="G38" s="12"/>
    </row>
    <row r="39" spans="2:7" s="9" customFormat="1" ht="20.25" customHeight="1" x14ac:dyDescent="0.25">
      <c r="B39" s="27" t="s">
        <v>103</v>
      </c>
      <c r="C39" s="403" t="s">
        <v>61</v>
      </c>
      <c r="D39" s="403"/>
      <c r="E39" s="28" t="s">
        <v>46</v>
      </c>
      <c r="F39" s="13"/>
      <c r="G39" s="12"/>
    </row>
    <row r="40" spans="2:7" s="9" customFormat="1" ht="32.25" customHeight="1" x14ac:dyDescent="0.25">
      <c r="B40" s="44" t="s">
        <v>517</v>
      </c>
      <c r="C40" s="447" t="s">
        <v>69</v>
      </c>
      <c r="D40" s="447"/>
      <c r="E40" s="54" t="str">
        <f>'2. Účetnictví'!F46</f>
        <v>Vyberte variantu</v>
      </c>
      <c r="F40" s="13"/>
      <c r="G40" s="12"/>
    </row>
    <row r="41" spans="2:7" s="9" customFormat="1" ht="32.25" customHeight="1" x14ac:dyDescent="0.25">
      <c r="B41" s="44" t="s">
        <v>176</v>
      </c>
      <c r="C41" s="447" t="s">
        <v>69</v>
      </c>
      <c r="D41" s="447"/>
      <c r="E41" s="54" t="str">
        <f>'2. Účetnictví'!F47</f>
        <v>Vyberte variantu</v>
      </c>
      <c r="F41" s="13"/>
      <c r="G41" s="12"/>
    </row>
    <row r="42" spans="2:7" s="9" customFormat="1" ht="17.25" customHeight="1" thickBot="1" x14ac:dyDescent="0.3">
      <c r="B42" s="448" t="s">
        <v>20</v>
      </c>
      <c r="C42" s="449"/>
      <c r="D42" s="449"/>
      <c r="E42" s="25" t="str">
        <f>IF(OR(E40="Ano",E41="Ano"),"Ano","Ne")</f>
        <v>Ne</v>
      </c>
      <c r="F42" s="43"/>
      <c r="G42" s="12"/>
    </row>
    <row r="43" spans="2:7" s="9" customFormat="1" ht="10.15" customHeight="1" thickBot="1" x14ac:dyDescent="0.3">
      <c r="B43" s="12"/>
      <c r="C43" s="8"/>
      <c r="E43" s="5"/>
      <c r="F43" s="13"/>
      <c r="G43" s="12"/>
    </row>
    <row r="44" spans="2:7" s="9" customFormat="1" ht="20.25" customHeight="1" thickBot="1" x14ac:dyDescent="0.3">
      <c r="B44" s="454" t="s">
        <v>104</v>
      </c>
      <c r="C44" s="455"/>
      <c r="D44" s="456"/>
      <c r="E44" s="26" t="str">
        <f>IF(OR(D18="kritéria A,C,D,E",D18="kritéria B,C,D,E",D18="kritéria C,D,E"),"RELEVANTNÍ","NERELEVANTNÍ")</f>
        <v>NERELEVANTNÍ</v>
      </c>
      <c r="F44" s="17"/>
      <c r="G44" s="8"/>
    </row>
    <row r="45" spans="2:7" s="9" customFormat="1" ht="5.25" customHeight="1" thickBot="1" x14ac:dyDescent="0.3">
      <c r="B45" s="12"/>
      <c r="C45" s="8"/>
      <c r="E45" s="21"/>
      <c r="F45" s="21"/>
      <c r="G45" s="8"/>
    </row>
    <row r="46" spans="2:7" s="9" customFormat="1" ht="20.25" customHeight="1" x14ac:dyDescent="0.25">
      <c r="B46" s="22" t="s">
        <v>105</v>
      </c>
      <c r="C46" s="45" t="s">
        <v>61</v>
      </c>
      <c r="D46" s="45" t="s">
        <v>98</v>
      </c>
      <c r="E46" s="23" t="str">
        <f>IF($D$8&gt;1,$D$8,"")</f>
        <v/>
      </c>
      <c r="F46" s="24" t="e">
        <f>IF($D$8&gt;1,$D$8-1,"")</f>
        <v>#VALUE!</v>
      </c>
      <c r="G46" s="8"/>
    </row>
    <row r="47" spans="2:7" s="9" customFormat="1" ht="17.25" customHeight="1" x14ac:dyDescent="0.25">
      <c r="B47" s="18" t="s">
        <v>65</v>
      </c>
      <c r="C47" s="19" t="s">
        <v>293</v>
      </c>
      <c r="D47" s="20" t="s">
        <v>37</v>
      </c>
      <c r="E47" s="51">
        <f>'2. Účetnictví'!F54</f>
        <v>0</v>
      </c>
      <c r="F47" s="52">
        <f>'2. Účetnictví'!G54</f>
        <v>0</v>
      </c>
      <c r="G47" s="8"/>
    </row>
    <row r="48" spans="2:7" s="9" customFormat="1" ht="17.25" customHeight="1" x14ac:dyDescent="0.25">
      <c r="B48" s="18" t="s">
        <v>99</v>
      </c>
      <c r="C48" s="19" t="s">
        <v>293</v>
      </c>
      <c r="D48" s="20" t="s">
        <v>70</v>
      </c>
      <c r="E48" s="51">
        <f>'2. Účetnictví'!F55</f>
        <v>0</v>
      </c>
      <c r="F48" s="52">
        <f>'2. Účetnictví'!G55</f>
        <v>0</v>
      </c>
      <c r="G48" s="8"/>
    </row>
    <row r="49" spans="2:6" s="9" customFormat="1" ht="17.25" customHeight="1" x14ac:dyDescent="0.25">
      <c r="B49" s="407" t="s">
        <v>88</v>
      </c>
      <c r="C49" s="408"/>
      <c r="D49" s="408"/>
      <c r="E49" s="6" t="str">
        <f>IF((E47)=0,"NR",(E48/E47))</f>
        <v>NR</v>
      </c>
      <c r="F49" s="7" t="str">
        <f>IF((F47)=0,"NR",(F48/F47))</f>
        <v>NR</v>
      </c>
    </row>
    <row r="50" spans="2:6" s="9" customFormat="1" ht="17.25" customHeight="1" thickBot="1" x14ac:dyDescent="0.3">
      <c r="B50" s="529" t="s">
        <v>22</v>
      </c>
      <c r="C50" s="530"/>
      <c r="D50" s="531"/>
      <c r="E50" s="10" t="str">
        <f>IF((E47)="0","Ano",IF((E49)&lt;0,"Chyba",IF(E49&gt;7.5,"Ano","Ne")))</f>
        <v>Ano</v>
      </c>
      <c r="F50" s="11" t="str">
        <f>IF((F47)="0","Ano",IF((F49)&lt;0,"Chyba",IF(F49&gt;7.5,"Ano","Ne")))</f>
        <v>Ano</v>
      </c>
    </row>
    <row r="51" spans="2:6" s="9" customFormat="1" ht="5.25" customHeight="1" thickBot="1" x14ac:dyDescent="0.3">
      <c r="B51" s="12"/>
      <c r="C51" s="8"/>
      <c r="E51" s="21"/>
      <c r="F51" s="21"/>
    </row>
    <row r="52" spans="2:6" s="9" customFormat="1" ht="20.25" customHeight="1" x14ac:dyDescent="0.25">
      <c r="B52" s="22" t="s">
        <v>106</v>
      </c>
      <c r="C52" s="45" t="s">
        <v>61</v>
      </c>
      <c r="D52" s="45" t="s">
        <v>98</v>
      </c>
      <c r="E52" s="23" t="str">
        <f>IF($D$8&gt;1,$D$8,"")</f>
        <v/>
      </c>
      <c r="F52" s="24" t="e">
        <f>IF($D$8&gt;1,$D$8-1,"")</f>
        <v>#VALUE!</v>
      </c>
    </row>
    <row r="53" spans="2:6" s="9" customFormat="1" ht="17.25" customHeight="1" x14ac:dyDescent="0.25">
      <c r="B53" s="18" t="s">
        <v>23</v>
      </c>
      <c r="C53" s="19" t="s">
        <v>50</v>
      </c>
      <c r="D53" s="20" t="s">
        <v>58</v>
      </c>
      <c r="E53" s="51">
        <f>'2. Účetnictví'!F61</f>
        <v>0</v>
      </c>
      <c r="F53" s="52">
        <f>'2. Účetnictví'!G61</f>
        <v>0</v>
      </c>
    </row>
    <row r="54" spans="2:6" s="9" customFormat="1" ht="17.25" customHeight="1" x14ac:dyDescent="0.25">
      <c r="B54" s="18" t="s">
        <v>25</v>
      </c>
      <c r="C54" s="19" t="s">
        <v>50</v>
      </c>
      <c r="D54" s="20" t="s">
        <v>59</v>
      </c>
      <c r="E54" s="51">
        <f>'2. Účetnictví'!F62</f>
        <v>0</v>
      </c>
      <c r="F54" s="52">
        <f>'2. Účetnictví'!G62</f>
        <v>0</v>
      </c>
    </row>
    <row r="55" spans="2:6" s="9" customFormat="1" ht="17.25" customHeight="1" x14ac:dyDescent="0.25">
      <c r="B55" s="18" t="s">
        <v>27</v>
      </c>
      <c r="C55" s="19" t="s">
        <v>50</v>
      </c>
      <c r="D55" s="20" t="s">
        <v>60</v>
      </c>
      <c r="E55" s="51">
        <f>'2. Účetnictví'!F63</f>
        <v>0</v>
      </c>
      <c r="F55" s="52">
        <f>'2. Účetnictví'!G63</f>
        <v>0</v>
      </c>
    </row>
    <row r="56" spans="2:6" s="9" customFormat="1" ht="17.25" customHeight="1" x14ac:dyDescent="0.25">
      <c r="B56" s="407" t="s">
        <v>89</v>
      </c>
      <c r="C56" s="408"/>
      <c r="D56" s="408"/>
      <c r="E56" s="6" t="str">
        <f>IF(E54=0,"NR",(E53+E54+E55)/E54)</f>
        <v>NR</v>
      </c>
      <c r="F56" s="7" t="str">
        <f>IF(F54=0,"NR",(F53+F54+F55)/F54)</f>
        <v>NR</v>
      </c>
    </row>
    <row r="57" spans="2:6" s="9" customFormat="1" ht="17.25" customHeight="1" thickBot="1" x14ac:dyDescent="0.3">
      <c r="B57" s="448" t="s">
        <v>107</v>
      </c>
      <c r="C57" s="449"/>
      <c r="D57" s="449"/>
      <c r="E57" s="10" t="str">
        <f>IF((E56)="NR","NR",IF((E56)&lt;1,"Ano","Ne"))</f>
        <v>NR</v>
      </c>
      <c r="F57" s="11" t="str">
        <f>IF((F56)="NR","NR",IF((F56)&lt;1,"Ano","Ne"))</f>
        <v>NR</v>
      </c>
    </row>
    <row r="58" spans="2:6" ht="5.25" customHeight="1" thickBot="1" x14ac:dyDescent="0.3">
      <c r="B58" s="12"/>
      <c r="C58" s="8"/>
      <c r="D58" s="9"/>
    </row>
    <row r="59" spans="2:6" s="9" customFormat="1" ht="20.25" customHeight="1" thickBot="1" x14ac:dyDescent="0.3">
      <c r="B59" s="491" t="s">
        <v>29</v>
      </c>
      <c r="C59" s="492"/>
      <c r="D59" s="492"/>
      <c r="E59" s="14" t="str">
        <f>IF(AND(E50="ANO",F50="Ano",E57="Ano",F57="Ano"),"Ano","Ne")</f>
        <v>Ne</v>
      </c>
      <c r="F59" s="43" t="s">
        <v>366</v>
      </c>
    </row>
    <row r="60" spans="2:6" s="9" customFormat="1" ht="15" customHeight="1" thickBot="1" x14ac:dyDescent="0.3">
      <c r="B60" s="12"/>
      <c r="C60" s="8"/>
      <c r="E60" s="5"/>
      <c r="F60" s="13"/>
    </row>
    <row r="61" spans="2:6" s="9" customFormat="1" ht="32.25" customHeight="1" thickBot="1" x14ac:dyDescent="0.3">
      <c r="B61" s="465" t="s">
        <v>108</v>
      </c>
      <c r="C61" s="466"/>
      <c r="D61" s="467"/>
      <c r="E61" s="16" t="str">
        <f>IF(OR(E25="ANO",E32="Ano",E37="Ano",E42="Ano",E59="Ano"),"Ano","Ne")</f>
        <v>Ne</v>
      </c>
      <c r="F61" s="55" t="s">
        <v>259</v>
      </c>
    </row>
  </sheetData>
  <sheetProtection algorithmName="SHA-512" hashValue="XjnwlmACdpBteZ0vx4/JMM4Kt0X9ETbsBLclOVPkgxiGibX+9Z1DTe8EGpnPz9OSNvkRx0ZIF4rPimniBwgUaw==" saltValue="xutZGFMLmjTiQHGxOqdmhA==" spinCount="100000" sheet="1" objects="1" scenarios="1"/>
  <mergeCells count="48">
    <mergeCell ref="B50:D50"/>
    <mergeCell ref="B56:D56"/>
    <mergeCell ref="B57:D57"/>
    <mergeCell ref="B59:D59"/>
    <mergeCell ref="B61:D61"/>
    <mergeCell ref="B49:D49"/>
    <mergeCell ref="B32:D32"/>
    <mergeCell ref="C34:D34"/>
    <mergeCell ref="C35:D35"/>
    <mergeCell ref="C36:D36"/>
    <mergeCell ref="B37:D37"/>
    <mergeCell ref="C39:D39"/>
    <mergeCell ref="C40:D40"/>
    <mergeCell ref="C41:D41"/>
    <mergeCell ref="B42:D42"/>
    <mergeCell ref="B44:D44"/>
    <mergeCell ref="F23:G24"/>
    <mergeCell ref="F35:G36"/>
    <mergeCell ref="B14:C14"/>
    <mergeCell ref="B15:C15"/>
    <mergeCell ref="D15:F15"/>
    <mergeCell ref="B18:C18"/>
    <mergeCell ref="D18:E18"/>
    <mergeCell ref="B20:B21"/>
    <mergeCell ref="C20:C21"/>
    <mergeCell ref="D20:D21"/>
    <mergeCell ref="B25:D25"/>
    <mergeCell ref="B27:B28"/>
    <mergeCell ref="C27:C28"/>
    <mergeCell ref="D27:D28"/>
    <mergeCell ref="B11:C11"/>
    <mergeCell ref="D11:F11"/>
    <mergeCell ref="B12:C12"/>
    <mergeCell ref="D12:F12"/>
    <mergeCell ref="B13:C13"/>
    <mergeCell ref="D13:F13"/>
    <mergeCell ref="B7:C7"/>
    <mergeCell ref="D7:F7"/>
    <mergeCell ref="B8:C8"/>
    <mergeCell ref="D8:F8"/>
    <mergeCell ref="B10:C10"/>
    <mergeCell ref="D10:F10"/>
    <mergeCell ref="B4:C4"/>
    <mergeCell ref="D4:F4"/>
    <mergeCell ref="B5:C5"/>
    <mergeCell ref="D5:F5"/>
    <mergeCell ref="B6:C6"/>
    <mergeCell ref="D6:F6"/>
  </mergeCells>
  <conditionalFormatting sqref="A1:A33">
    <cfRule type="beginsWith" dxfId="260" priority="34" operator="beginsWith" text="RE">
      <formula>LEFT(A1,LEN("RE"))="RE"</formula>
    </cfRule>
    <cfRule type="containsText" dxfId="259" priority="35" operator="containsText" text="&quot;RELEVANTNÍ&quot;">
      <formula>NOT(ISERROR(SEARCH("""RELEVANTNÍ""",A1)))</formula>
    </cfRule>
  </conditionalFormatting>
  <conditionalFormatting sqref="A35:A38 A69:A1048576">
    <cfRule type="beginsWith" dxfId="258" priority="43" operator="beginsWith" text="RE">
      <formula>LEFT(A35,LEN("RE"))="RE"</formula>
    </cfRule>
    <cfRule type="containsText" dxfId="257" priority="44" operator="containsText" text="&quot;RELEVANTNÍ&quot;">
      <formula>NOT(ISERROR(SEARCH("""RELEVANTNÍ""",A35)))</formula>
    </cfRule>
  </conditionalFormatting>
  <conditionalFormatting sqref="A40:A63">
    <cfRule type="beginsWith" dxfId="256" priority="24" operator="beginsWith" text="RE">
      <formula>LEFT(A40,LEN("RE"))="RE"</formula>
    </cfRule>
    <cfRule type="containsText" dxfId="255" priority="25" operator="containsText" text="&quot;RELEVANTNÍ&quot;">
      <formula>NOT(ISERROR(SEARCH("""RELEVANTNÍ""",A40)))</formula>
    </cfRule>
  </conditionalFormatting>
  <conditionalFormatting sqref="E18">
    <cfRule type="beginsWith" dxfId="254" priority="41" operator="beginsWith" text="RE">
      <formula>LEFT(E18,LEN("RE"))="RE"</formula>
    </cfRule>
  </conditionalFormatting>
  <conditionalFormatting sqref="E20:E21">
    <cfRule type="beginsWith" dxfId="253" priority="7" operator="beginsWith" text="RE">
      <formula>LEFT(E20,LEN("RE"))="RE"</formula>
    </cfRule>
  </conditionalFormatting>
  <conditionalFormatting sqref="E22:E24">
    <cfRule type="expression" dxfId="252" priority="8">
      <formula>$E$20="NERELEVANTNÍ"</formula>
    </cfRule>
  </conditionalFormatting>
  <conditionalFormatting sqref="E23:E25">
    <cfRule type="beginsWith" dxfId="251" priority="9" operator="beginsWith" text="RE">
      <formula>LEFT(E23,LEN("RE"))="RE"</formula>
    </cfRule>
  </conditionalFormatting>
  <conditionalFormatting sqref="E25">
    <cfRule type="containsText" dxfId="250" priority="10" operator="containsText" text="Ne">
      <formula>NOT(ISERROR(SEARCH("Ne",E25)))</formula>
    </cfRule>
    <cfRule type="containsText" dxfId="249" priority="11" operator="containsText" text="Ano">
      <formula>NOT(ISERROR(SEARCH("Ano",E25)))</formula>
    </cfRule>
  </conditionalFormatting>
  <conditionalFormatting sqref="E28">
    <cfRule type="beginsWith" dxfId="248" priority="16" operator="beginsWith" text="RE">
      <formula>LEFT(E28,LEN("RE"))="RE"</formula>
    </cfRule>
  </conditionalFormatting>
  <conditionalFormatting sqref="E29:E31">
    <cfRule type="expression" dxfId="247" priority="30">
      <formula>$E$27="NERELEVANTNÍ"</formula>
    </cfRule>
    <cfRule type="beginsWith" dxfId="246" priority="31" operator="beginsWith" text="RE">
      <formula>LEFT(E29,LEN("RE"))="RE"</formula>
    </cfRule>
  </conditionalFormatting>
  <conditionalFormatting sqref="E32 E37 E42 E59 E61">
    <cfRule type="containsText" dxfId="245" priority="45" operator="containsText" text="Ne">
      <formula>NOT(ISERROR(SEARCH("Ne",E32)))</formula>
    </cfRule>
    <cfRule type="containsText" dxfId="244" priority="46" operator="containsText" text="Ano">
      <formula>NOT(ISERROR(SEARCH("Ano",E32)))</formula>
    </cfRule>
  </conditionalFormatting>
  <conditionalFormatting sqref="E1:F3 E9:F9 E17:F17 B19:E19 F19:F22 F25 E26:F27 F28:F31 E32:F34 F35 E37:F39 F40:F41">
    <cfRule type="beginsWith" dxfId="243" priority="42" operator="beginsWith" text="RE">
      <formula>LEFT(B1,LEN("RE"))="RE"</formula>
    </cfRule>
  </conditionalFormatting>
  <conditionalFormatting sqref="E42:F46">
    <cfRule type="beginsWith" dxfId="242" priority="15" operator="beginsWith" text="RE">
      <formula>LEFT(E42,LEN("RE"))="RE"</formula>
    </cfRule>
  </conditionalFormatting>
  <conditionalFormatting sqref="E47:F48">
    <cfRule type="expression" dxfId="241" priority="28">
      <formula>$E$44="NERELEVANTNÍ"</formula>
    </cfRule>
  </conditionalFormatting>
  <conditionalFormatting sqref="E47:F49">
    <cfRule type="beginsWith" dxfId="240" priority="29" operator="beginsWith" text="RE">
      <formula>LEFT(E47,LEN("RE"))="RE"</formula>
    </cfRule>
  </conditionalFormatting>
  <conditionalFormatting sqref="E50:F52">
    <cfRule type="beginsWith" dxfId="239" priority="14" operator="beginsWith" text="RE">
      <formula>LEFT(E50,LEN("RE"))="RE"</formula>
    </cfRule>
  </conditionalFormatting>
  <conditionalFormatting sqref="E53:F55">
    <cfRule type="expression" dxfId="238" priority="26">
      <formula>$E$44="NERELEVANTNÍ"</formula>
    </cfRule>
  </conditionalFormatting>
  <conditionalFormatting sqref="E53:F58">
    <cfRule type="beginsWith" dxfId="237" priority="27" operator="beginsWith" text="RE">
      <formula>LEFT(E53,LEN("RE"))="RE"</formula>
    </cfRule>
  </conditionalFormatting>
  <conditionalFormatting sqref="E59:F1048576">
    <cfRule type="beginsWith" dxfId="236" priority="1" operator="beginsWith" text="RE">
      <formula>LEFT(E59,LEN("RE"))="RE"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M61"/>
  <sheetViews>
    <sheetView showGridLines="0" topLeftCell="A18" zoomScale="104" zoomScaleNormal="80" workbookViewId="0">
      <selection activeCell="B41" sqref="B41"/>
    </sheetView>
  </sheetViews>
  <sheetFormatPr defaultColWidth="11" defaultRowHeight="14.25" x14ac:dyDescent="0.25"/>
  <cols>
    <col min="1" max="1" width="5.75" style="21" customWidth="1"/>
    <col min="2" max="2" width="64.25" style="13" customWidth="1"/>
    <col min="3" max="3" width="11.125" style="13" customWidth="1"/>
    <col min="4" max="4" width="12.625" style="5" customWidth="1"/>
    <col min="5" max="5" width="17" style="5" customWidth="1"/>
    <col min="6" max="6" width="15.5" style="13" customWidth="1"/>
    <col min="7" max="7" width="22" style="12" customWidth="1"/>
    <col min="8" max="13" width="10.5" style="9"/>
    <col min="14" max="16384" width="11" style="5"/>
  </cols>
  <sheetData>
    <row r="2" spans="1:6" ht="18" x14ac:dyDescent="0.25">
      <c r="B2" s="35" t="s">
        <v>272</v>
      </c>
      <c r="C2" s="47"/>
    </row>
    <row r="3" spans="1:6" ht="11.65" customHeight="1" thickBot="1" x14ac:dyDescent="0.3"/>
    <row r="4" spans="1:6" ht="21" customHeight="1" x14ac:dyDescent="0.25">
      <c r="A4" s="32" t="s">
        <v>74</v>
      </c>
      <c r="B4" s="421" t="s">
        <v>80</v>
      </c>
      <c r="C4" s="422"/>
      <c r="D4" s="503">
        <f>'2. Účetnictví'!E4</f>
        <v>0</v>
      </c>
      <c r="E4" s="503"/>
      <c r="F4" s="504"/>
    </row>
    <row r="5" spans="1:6" ht="15" hidden="1" x14ac:dyDescent="0.25">
      <c r="B5" s="424" t="s">
        <v>0</v>
      </c>
      <c r="C5" s="413"/>
      <c r="D5" s="505"/>
      <c r="E5" s="505"/>
      <c r="F5" s="506"/>
    </row>
    <row r="6" spans="1:6" ht="21" customHeight="1" x14ac:dyDescent="0.25">
      <c r="B6" s="424" t="s">
        <v>1</v>
      </c>
      <c r="C6" s="413"/>
      <c r="D6" s="505">
        <f>'2. Účetnictví'!E6</f>
        <v>0</v>
      </c>
      <c r="E6" s="505"/>
      <c r="F6" s="506"/>
    </row>
    <row r="7" spans="1:6" ht="19.5" customHeight="1" x14ac:dyDescent="0.25">
      <c r="B7" s="424" t="s">
        <v>246</v>
      </c>
      <c r="C7" s="413"/>
      <c r="D7" s="508">
        <f>'2. Účetnictví'!E8</f>
        <v>42222</v>
      </c>
      <c r="E7" s="508"/>
      <c r="F7" s="509"/>
    </row>
    <row r="8" spans="1:6" ht="21" customHeight="1" thickBot="1" x14ac:dyDescent="0.3">
      <c r="B8" s="437" t="s">
        <v>273</v>
      </c>
      <c r="C8" s="438"/>
      <c r="D8" s="435" t="str">
        <f>'2. Účetnictví'!E11</f>
        <v/>
      </c>
      <c r="E8" s="435"/>
      <c r="F8" s="436"/>
    </row>
    <row r="9" spans="1:6" ht="10.15" customHeight="1" thickBot="1" x14ac:dyDescent="0.3">
      <c r="C9" s="17"/>
    </row>
    <row r="10" spans="1:6" ht="21" customHeight="1" x14ac:dyDescent="0.25">
      <c r="B10" s="421" t="s">
        <v>262</v>
      </c>
      <c r="C10" s="539"/>
      <c r="D10" s="512" t="str">
        <f>'2. Účetnictví'!E16</f>
        <v>Vyberte variantu</v>
      </c>
      <c r="E10" s="512"/>
      <c r="F10" s="513"/>
    </row>
    <row r="11" spans="1:6" ht="21" customHeight="1" x14ac:dyDescent="0.25">
      <c r="B11" s="459" t="s">
        <v>256</v>
      </c>
      <c r="C11" s="541"/>
      <c r="D11" s="439" t="str">
        <f>'2. Účetnictví'!E17</f>
        <v>Vyberte variantu</v>
      </c>
      <c r="E11" s="439"/>
      <c r="F11" s="514"/>
    </row>
    <row r="12" spans="1:6" ht="52.9" customHeight="1" x14ac:dyDescent="0.25">
      <c r="B12" s="424" t="s">
        <v>258</v>
      </c>
      <c r="C12" s="532"/>
      <c r="D12" s="439" t="str">
        <f>'2. Účetnictví'!E18</f>
        <v>Vyberte variantu</v>
      </c>
      <c r="E12" s="439"/>
      <c r="F12" s="514"/>
    </row>
    <row r="13" spans="1:6" ht="70.150000000000006" customHeight="1" thickBot="1" x14ac:dyDescent="0.3">
      <c r="B13" s="461" t="s">
        <v>255</v>
      </c>
      <c r="C13" s="542"/>
      <c r="D13" s="515" t="str">
        <f>Výpočty!D46</f>
        <v/>
      </c>
      <c r="E13" s="515"/>
      <c r="F13" s="516"/>
    </row>
    <row r="14" spans="1:6" ht="21" hidden="1" customHeight="1" x14ac:dyDescent="0.25">
      <c r="B14" s="428" t="s">
        <v>79</v>
      </c>
      <c r="C14" s="429"/>
      <c r="D14" s="537" t="s">
        <v>177</v>
      </c>
      <c r="E14" s="537"/>
      <c r="F14" s="538"/>
    </row>
    <row r="15" spans="1:6" ht="21" hidden="1" customHeight="1" thickBot="1" x14ac:dyDescent="0.3">
      <c r="B15" s="533" t="s">
        <v>248</v>
      </c>
      <c r="C15" s="534"/>
      <c r="D15" s="535" t="s">
        <v>71</v>
      </c>
      <c r="E15" s="535"/>
      <c r="F15" s="536"/>
    </row>
    <row r="17" spans="1:13" ht="15" thickBot="1" x14ac:dyDescent="0.3"/>
    <row r="18" spans="1:13" ht="20.25" customHeight="1" thickBot="1" x14ac:dyDescent="0.3">
      <c r="A18" s="32" t="s">
        <v>75</v>
      </c>
      <c r="B18" s="485" t="s">
        <v>90</v>
      </c>
      <c r="C18" s="486"/>
      <c r="D18" s="44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41"/>
    </row>
    <row r="19" spans="1:13" ht="8.25" customHeight="1" thickBot="1" x14ac:dyDescent="0.3"/>
    <row r="20" spans="1:13" ht="20.25" customHeight="1" x14ac:dyDescent="0.25">
      <c r="B20" s="421" t="s">
        <v>311</v>
      </c>
      <c r="C20" s="445" t="s">
        <v>61</v>
      </c>
      <c r="D20" s="520" t="s">
        <v>64</v>
      </c>
      <c r="E20" s="28" t="str">
        <f>IF(OR(D18="kritéria A,C,D,E",D18="kritéria A,C,D"),"RELEVANTNÍ","NERELEVANTNÍ")</f>
        <v>NERELEVANTNÍ</v>
      </c>
      <c r="F20" s="5"/>
      <c r="G20" s="5"/>
      <c r="H20" s="5"/>
      <c r="I20" s="5"/>
      <c r="J20" s="5"/>
      <c r="K20" s="5"/>
      <c r="L20" s="5"/>
      <c r="M20" s="5"/>
    </row>
    <row r="21" spans="1:13" s="47" customFormat="1" ht="20.25" customHeight="1" x14ac:dyDescent="0.25">
      <c r="A21" s="21"/>
      <c r="B21" s="424"/>
      <c r="C21" s="446"/>
      <c r="D21" s="521"/>
      <c r="E21" s="33" t="str">
        <f>IF($D$8&gt;1,$D$8,"")</f>
        <v/>
      </c>
    </row>
    <row r="22" spans="1:13" s="47" customFormat="1" ht="17.25" customHeight="1" x14ac:dyDescent="0.25">
      <c r="A22" s="21"/>
      <c r="B22" s="29" t="s">
        <v>15</v>
      </c>
      <c r="C22" s="30" t="s">
        <v>293</v>
      </c>
      <c r="D22" s="31" t="s">
        <v>5</v>
      </c>
      <c r="E22" s="50">
        <f>'2. Účetnictví'!F28</f>
        <v>0</v>
      </c>
    </row>
    <row r="23" spans="1:13" ht="17.25" customHeight="1" x14ac:dyDescent="0.25">
      <c r="B23" s="29" t="s">
        <v>30</v>
      </c>
      <c r="C23" s="30" t="s">
        <v>293</v>
      </c>
      <c r="D23" s="31" t="s">
        <v>7</v>
      </c>
      <c r="E23" s="50">
        <f>'2. Účetnictví'!F29</f>
        <v>0</v>
      </c>
    </row>
    <row r="24" spans="1:13" ht="17.25" customHeight="1" x14ac:dyDescent="0.25">
      <c r="B24" s="29" t="s">
        <v>72</v>
      </c>
      <c r="C24" s="30" t="s">
        <v>293</v>
      </c>
      <c r="D24" s="31" t="s">
        <v>9</v>
      </c>
      <c r="E24" s="50">
        <f>'2. Účetnictví'!F30</f>
        <v>0</v>
      </c>
    </row>
    <row r="25" spans="1:13" ht="17.25" customHeight="1" thickBot="1" x14ac:dyDescent="0.3">
      <c r="B25" s="522" t="s">
        <v>14</v>
      </c>
      <c r="C25" s="523"/>
      <c r="D25" s="524"/>
      <c r="E25" s="25" t="str">
        <f>IF(E22&lt;((E23+E24)/2),"Ano","Ne")</f>
        <v>Ne</v>
      </c>
    </row>
    <row r="26" spans="1:13" ht="10.15" customHeight="1" thickBot="1" x14ac:dyDescent="0.3">
      <c r="D26" s="21"/>
      <c r="E26" s="21"/>
    </row>
    <row r="27" spans="1:13" s="9" customFormat="1" ht="20.25" customHeight="1" x14ac:dyDescent="0.25">
      <c r="A27" s="21"/>
      <c r="B27" s="540" t="s">
        <v>312</v>
      </c>
      <c r="C27" s="520" t="s">
        <v>61</v>
      </c>
      <c r="D27" s="520" t="s">
        <v>64</v>
      </c>
      <c r="E27" s="28" t="str">
        <f>IF(OR(D18="kritéria B,C,D,E",D18="kritéria B,C,D"),"RELEVANTNÍ","NERELEVANTNÍ")</f>
        <v>NERELEVANTNÍ</v>
      </c>
    </row>
    <row r="28" spans="1:13" s="9" customFormat="1" ht="20.25" customHeight="1" x14ac:dyDescent="0.25">
      <c r="A28" s="21"/>
      <c r="B28" s="428"/>
      <c r="C28" s="521"/>
      <c r="D28" s="521"/>
      <c r="E28" s="33" t="str">
        <f>IF($D$8&gt;1,$D$8,"")</f>
        <v/>
      </c>
    </row>
    <row r="29" spans="1:13" s="9" customFormat="1" ht="17.25" customHeight="1" x14ac:dyDescent="0.25">
      <c r="A29" s="21"/>
      <c r="B29" s="29" t="s">
        <v>15</v>
      </c>
      <c r="C29" s="30" t="s">
        <v>293</v>
      </c>
      <c r="D29" s="31" t="s">
        <v>5</v>
      </c>
      <c r="E29" s="50">
        <f>'2. Účetnictví'!F35</f>
        <v>0</v>
      </c>
    </row>
    <row r="30" spans="1:13" s="9" customFormat="1" ht="17.25" customHeight="1" x14ac:dyDescent="0.25">
      <c r="A30" s="21"/>
      <c r="B30" s="29" t="s">
        <v>10</v>
      </c>
      <c r="C30" s="30" t="s">
        <v>293</v>
      </c>
      <c r="D30" s="31" t="s">
        <v>11</v>
      </c>
      <c r="E30" s="50">
        <f>'2. Účetnictví'!F36</f>
        <v>0</v>
      </c>
    </row>
    <row r="31" spans="1:13" s="9" customFormat="1" ht="17.25" customHeight="1" x14ac:dyDescent="0.25">
      <c r="A31" s="21"/>
      <c r="B31" s="29" t="s">
        <v>12</v>
      </c>
      <c r="C31" s="30" t="s">
        <v>293</v>
      </c>
      <c r="D31" s="31" t="s">
        <v>13</v>
      </c>
      <c r="E31" s="50">
        <f>'2. Účetnictví'!F37</f>
        <v>0</v>
      </c>
    </row>
    <row r="32" spans="1:13" s="9" customFormat="1" ht="17.25" customHeight="1" thickBot="1" x14ac:dyDescent="0.3">
      <c r="A32" s="21"/>
      <c r="B32" s="450" t="s">
        <v>17</v>
      </c>
      <c r="C32" s="451"/>
      <c r="D32" s="451"/>
      <c r="E32" s="25" t="str">
        <f>IF(AND((E30+E31)&gt;0,E29&gt;0),"Ne",(IF((ABS(E30+E31))&gt;((E29-(E30+E31))/2),"Ano","Ne")))</f>
        <v>Ne</v>
      </c>
    </row>
    <row r="34" spans="2:6" s="9" customFormat="1" ht="20.25" customHeight="1" x14ac:dyDescent="0.25">
      <c r="B34" s="27" t="s">
        <v>102</v>
      </c>
      <c r="C34" s="403" t="s">
        <v>61</v>
      </c>
      <c r="D34" s="403"/>
      <c r="E34" s="28" t="s">
        <v>46</v>
      </c>
      <c r="F34" s="13"/>
    </row>
    <row r="35" spans="2:6" s="9" customFormat="1" ht="17.25" customHeight="1" x14ac:dyDescent="0.25">
      <c r="B35" s="44" t="s">
        <v>18</v>
      </c>
      <c r="C35" s="447" t="s">
        <v>63</v>
      </c>
      <c r="D35" s="447"/>
      <c r="E35" s="54" t="str">
        <f>'2. Účetnictví'!F41</f>
        <v>Vyberte variantu</v>
      </c>
      <c r="F35" s="13"/>
    </row>
    <row r="36" spans="2:6" s="9" customFormat="1" ht="17.25" customHeight="1" x14ac:dyDescent="0.25">
      <c r="B36" s="44" t="s">
        <v>175</v>
      </c>
      <c r="C36" s="447" t="s">
        <v>69</v>
      </c>
      <c r="D36" s="447"/>
      <c r="E36" s="54" t="str">
        <f>'2. Účetnictví'!F42</f>
        <v>Vyberte variantu</v>
      </c>
      <c r="F36" s="13"/>
    </row>
    <row r="37" spans="2:6" s="9" customFormat="1" ht="17.25" customHeight="1" thickBot="1" x14ac:dyDescent="0.3">
      <c r="B37" s="448" t="s">
        <v>19</v>
      </c>
      <c r="C37" s="449"/>
      <c r="D37" s="449"/>
      <c r="E37" s="25" t="str">
        <f>IF(OR(E35="Ano",E36="Ano"),"Ano","Ne")</f>
        <v>Ne</v>
      </c>
      <c r="F37" s="43" t="s">
        <v>366</v>
      </c>
    </row>
    <row r="38" spans="2:6" s="9" customFormat="1" ht="10.15" customHeight="1" thickBot="1" x14ac:dyDescent="0.3">
      <c r="B38" s="12"/>
      <c r="C38" s="12"/>
      <c r="E38" s="5"/>
      <c r="F38" s="13"/>
    </row>
    <row r="39" spans="2:6" s="9" customFormat="1" ht="20.25" customHeight="1" x14ac:dyDescent="0.25">
      <c r="B39" s="27" t="s">
        <v>103</v>
      </c>
      <c r="C39" s="403" t="s">
        <v>61</v>
      </c>
      <c r="D39" s="403"/>
      <c r="E39" s="28" t="s">
        <v>46</v>
      </c>
      <c r="F39" s="13"/>
    </row>
    <row r="40" spans="2:6" s="9" customFormat="1" ht="32.25" customHeight="1" x14ac:dyDescent="0.25">
      <c r="B40" s="44" t="s">
        <v>517</v>
      </c>
      <c r="C40" s="447" t="s">
        <v>69</v>
      </c>
      <c r="D40" s="447"/>
      <c r="E40" s="54" t="str">
        <f>'2. Účetnictví'!F46</f>
        <v>Vyberte variantu</v>
      </c>
      <c r="F40" s="13"/>
    </row>
    <row r="41" spans="2:6" s="9" customFormat="1" ht="32.25" customHeight="1" x14ac:dyDescent="0.25">
      <c r="B41" s="44" t="s">
        <v>176</v>
      </c>
      <c r="C41" s="447" t="s">
        <v>69</v>
      </c>
      <c r="D41" s="447"/>
      <c r="E41" s="54" t="str">
        <f>'2. Účetnictví'!F47</f>
        <v>Vyberte variantu</v>
      </c>
      <c r="F41" s="13"/>
    </row>
    <row r="42" spans="2:6" s="9" customFormat="1" ht="17.25" customHeight="1" thickBot="1" x14ac:dyDescent="0.3">
      <c r="B42" s="448" t="s">
        <v>20</v>
      </c>
      <c r="C42" s="449"/>
      <c r="D42" s="449"/>
      <c r="E42" s="25" t="str">
        <f>IF(OR(E40="Ano",E41="Ano"),"Ano","Ne")</f>
        <v>Ne</v>
      </c>
      <c r="F42" s="43" t="s">
        <v>366</v>
      </c>
    </row>
    <row r="43" spans="2:6" s="9" customFormat="1" ht="10.15" customHeight="1" thickBot="1" x14ac:dyDescent="0.3">
      <c r="B43" s="12"/>
      <c r="C43" s="12"/>
      <c r="E43" s="5"/>
      <c r="F43" s="13"/>
    </row>
    <row r="44" spans="2:6" s="9" customFormat="1" ht="20.25" customHeight="1" thickBot="1" x14ac:dyDescent="0.3">
      <c r="B44" s="454" t="s">
        <v>104</v>
      </c>
      <c r="C44" s="455"/>
      <c r="D44" s="456"/>
      <c r="E44" s="26" t="str">
        <f>IF(OR(D18="kritéria A,C,D,E",D18="kritéria B,C,D,E",D18="kritéria C,D,E"),"RELEVANTNÍ","NERELEVANTNÍ")</f>
        <v>NERELEVANTNÍ</v>
      </c>
      <c r="F44" s="17"/>
    </row>
    <row r="45" spans="2:6" s="9" customFormat="1" ht="5.25" customHeight="1" thickBot="1" x14ac:dyDescent="0.3">
      <c r="B45" s="12"/>
      <c r="C45" s="12"/>
      <c r="E45" s="21"/>
      <c r="F45" s="21"/>
    </row>
    <row r="46" spans="2:6" s="9" customFormat="1" ht="20.25" customHeight="1" x14ac:dyDescent="0.25">
      <c r="B46" s="22" t="s">
        <v>105</v>
      </c>
      <c r="C46" s="45" t="s">
        <v>61</v>
      </c>
      <c r="D46" s="45" t="s">
        <v>98</v>
      </c>
      <c r="E46" s="23" t="str">
        <f>IF($D$8&gt;1,$D$8,"")</f>
        <v/>
      </c>
      <c r="F46" s="24" t="e">
        <f>IF($D$8&gt;1,$D$8-1,"")</f>
        <v>#VALUE!</v>
      </c>
    </row>
    <row r="47" spans="2:6" s="9" customFormat="1" ht="17.25" customHeight="1" x14ac:dyDescent="0.25">
      <c r="B47" s="18" t="s">
        <v>15</v>
      </c>
      <c r="C47" s="19" t="s">
        <v>293</v>
      </c>
      <c r="D47" s="20" t="s">
        <v>5</v>
      </c>
      <c r="E47" s="49">
        <f>'2. Účetnictví'!F54</f>
        <v>0</v>
      </c>
      <c r="F47" s="50">
        <f>'2. Účetnictví'!G54</f>
        <v>0</v>
      </c>
    </row>
    <row r="48" spans="2:6" s="9" customFormat="1" ht="17.25" customHeight="1" x14ac:dyDescent="0.25">
      <c r="B48" s="18" t="s">
        <v>99</v>
      </c>
      <c r="C48" s="19" t="s">
        <v>293</v>
      </c>
      <c r="D48" s="20" t="s">
        <v>21</v>
      </c>
      <c r="E48" s="49">
        <f>'2. Účetnictví'!F55</f>
        <v>0</v>
      </c>
      <c r="F48" s="50">
        <f>'2. Účetnictví'!G55</f>
        <v>0</v>
      </c>
    </row>
    <row r="49" spans="2:6" s="9" customFormat="1" ht="17.25" customHeight="1" x14ac:dyDescent="0.25">
      <c r="B49" s="407" t="s">
        <v>88</v>
      </c>
      <c r="C49" s="408"/>
      <c r="D49" s="408"/>
      <c r="E49" s="6" t="str">
        <f>IF((E47)=0,"NR",(E48/E47))</f>
        <v>NR</v>
      </c>
      <c r="F49" s="7" t="str">
        <f>IF((F47)=0,"NR",(F48/F47))</f>
        <v>NR</v>
      </c>
    </row>
    <row r="50" spans="2:6" s="9" customFormat="1" ht="17.25" customHeight="1" thickBot="1" x14ac:dyDescent="0.3">
      <c r="B50" s="448" t="s">
        <v>22</v>
      </c>
      <c r="C50" s="449"/>
      <c r="D50" s="449"/>
      <c r="E50" s="10" t="str">
        <f>IF((E47)="0","Ano",IF((E49)&lt;0,"Chyba",IF(E49&gt;7.5,"Ano","Ne")))</f>
        <v>Ano</v>
      </c>
      <c r="F50" s="11" t="str">
        <f>IF((F47)="0","Ano",IF((F49)&lt;0,"Chyba",IF(F49&gt;7.5,"Ano","Ne")))</f>
        <v>Ano</v>
      </c>
    </row>
    <row r="51" spans="2:6" s="9" customFormat="1" ht="5.25" customHeight="1" thickBot="1" x14ac:dyDescent="0.3">
      <c r="B51" s="12"/>
      <c r="C51" s="12"/>
      <c r="E51" s="21"/>
      <c r="F51" s="21"/>
    </row>
    <row r="52" spans="2:6" s="9" customFormat="1" ht="20.25" customHeight="1" x14ac:dyDescent="0.25">
      <c r="B52" s="22" t="s">
        <v>106</v>
      </c>
      <c r="C52" s="45" t="s">
        <v>61</v>
      </c>
      <c r="D52" s="45" t="s">
        <v>98</v>
      </c>
      <c r="E52" s="23" t="str">
        <f>IF($D$8&gt;1,$D$8,"")</f>
        <v/>
      </c>
      <c r="F52" s="24" t="e">
        <f>IF($D$8&gt;1,$D$8-1,"")</f>
        <v>#VALUE!</v>
      </c>
    </row>
    <row r="53" spans="2:6" s="9" customFormat="1" ht="17.25" customHeight="1" x14ac:dyDescent="0.25">
      <c r="B53" s="18" t="s">
        <v>23</v>
      </c>
      <c r="C53" s="19" t="s">
        <v>50</v>
      </c>
      <c r="D53" s="20" t="s">
        <v>100</v>
      </c>
      <c r="E53" s="49">
        <f>'2. Účetnictví'!F61</f>
        <v>0</v>
      </c>
      <c r="F53" s="50">
        <f>'2. Účetnictví'!G61</f>
        <v>0</v>
      </c>
    </row>
    <row r="54" spans="2:6" s="9" customFormat="1" ht="17.25" customHeight="1" x14ac:dyDescent="0.25">
      <c r="B54" s="18" t="s">
        <v>25</v>
      </c>
      <c r="C54" s="19" t="s">
        <v>50</v>
      </c>
      <c r="D54" s="20" t="s">
        <v>26</v>
      </c>
      <c r="E54" s="49">
        <f>'2. Účetnictví'!F62</f>
        <v>0</v>
      </c>
      <c r="F54" s="50">
        <f>'2. Účetnictví'!G62</f>
        <v>0</v>
      </c>
    </row>
    <row r="55" spans="2:6" s="9" customFormat="1" ht="17.25" customHeight="1" x14ac:dyDescent="0.25">
      <c r="B55" s="18" t="s">
        <v>27</v>
      </c>
      <c r="C55" s="19" t="s">
        <v>50</v>
      </c>
      <c r="D55" s="20" t="s">
        <v>28</v>
      </c>
      <c r="E55" s="49">
        <f>'2. Účetnictví'!F63</f>
        <v>0</v>
      </c>
      <c r="F55" s="50">
        <f>'2. Účetnictví'!G63</f>
        <v>0</v>
      </c>
    </row>
    <row r="56" spans="2:6" s="9" customFormat="1" ht="17.25" customHeight="1" x14ac:dyDescent="0.25">
      <c r="B56" s="407" t="s">
        <v>89</v>
      </c>
      <c r="C56" s="408"/>
      <c r="D56" s="408"/>
      <c r="E56" s="6" t="str">
        <f>IF(E54=0,"NR",(E53+E54+E55)/E54)</f>
        <v>NR</v>
      </c>
      <c r="F56" s="7" t="str">
        <f>IF(F54=0,"NR",(F53+F54+F55)/F54)</f>
        <v>NR</v>
      </c>
    </row>
    <row r="57" spans="2:6" s="9" customFormat="1" ht="17.25" customHeight="1" thickBot="1" x14ac:dyDescent="0.3">
      <c r="B57" s="448" t="s">
        <v>107</v>
      </c>
      <c r="C57" s="449"/>
      <c r="D57" s="449"/>
      <c r="E57" s="10" t="str">
        <f>IF((E56)="NR","NR",IF((E56)&lt;1,"Ano","Ne"))</f>
        <v>NR</v>
      </c>
      <c r="F57" s="11" t="str">
        <f>IF((F56)="NR","NR",IF((F56)&lt;1,"Ano","Ne"))</f>
        <v>NR</v>
      </c>
    </row>
    <row r="58" spans="2:6" ht="5.25" customHeight="1" thickBot="1" x14ac:dyDescent="0.3">
      <c r="B58" s="12"/>
      <c r="C58" s="12"/>
      <c r="D58" s="9"/>
    </row>
    <row r="59" spans="2:6" s="9" customFormat="1" ht="20.25" customHeight="1" thickBot="1" x14ac:dyDescent="0.3">
      <c r="B59" s="468" t="s">
        <v>29</v>
      </c>
      <c r="C59" s="469"/>
      <c r="D59" s="470"/>
      <c r="E59" s="14" t="str">
        <f>IF(AND(E50="ANO",F50="Ano",E57="Ano",F57="Ano"),"Ano","Ne")</f>
        <v>Ne</v>
      </c>
      <c r="F59" s="43" t="s">
        <v>366</v>
      </c>
    </row>
    <row r="60" spans="2:6" s="9" customFormat="1" ht="15" customHeight="1" thickBot="1" x14ac:dyDescent="0.3">
      <c r="B60" s="12"/>
      <c r="C60" s="12"/>
      <c r="E60" s="5"/>
      <c r="F60" s="13"/>
    </row>
    <row r="61" spans="2:6" s="9" customFormat="1" ht="32.25" customHeight="1" thickBot="1" x14ac:dyDescent="0.3">
      <c r="B61" s="465" t="s">
        <v>108</v>
      </c>
      <c r="C61" s="466"/>
      <c r="D61" s="467"/>
      <c r="E61" s="16" t="str">
        <f>IF(OR(E25="ANO",E32="Ano",E37="Ano",E42="Ano",E59="Ano"),"Ano","Ne")</f>
        <v>Ne</v>
      </c>
      <c r="F61" s="55"/>
    </row>
  </sheetData>
  <sheetProtection algorithmName="SHA-512" hashValue="NEaBMN5qLNVy0eonb0m3brCmabRNv2Mdij99PxgevgsSJN8BgYJJzcp2YcB1VVuqqJwZ+f/89YAYABcGzYFLDQ==" saltValue="5uuu/2lSrzUiGaYvnHG1Kg==" spinCount="100000" sheet="1" objects="1" scenarios="1"/>
  <mergeCells count="47">
    <mergeCell ref="D20:D21"/>
    <mergeCell ref="B27:B28"/>
    <mergeCell ref="C27:C28"/>
    <mergeCell ref="D27:D28"/>
    <mergeCell ref="D10:F10"/>
    <mergeCell ref="B11:C11"/>
    <mergeCell ref="D11:F11"/>
    <mergeCell ref="D18:E18"/>
    <mergeCell ref="B20:B21"/>
    <mergeCell ref="C20:C21"/>
    <mergeCell ref="B13:C13"/>
    <mergeCell ref="D13:F13"/>
    <mergeCell ref="C35:D35"/>
    <mergeCell ref="B49:D49"/>
    <mergeCell ref="B37:D37"/>
    <mergeCell ref="C40:D40"/>
    <mergeCell ref="C41:D41"/>
    <mergeCell ref="C39:D39"/>
    <mergeCell ref="B42:D42"/>
    <mergeCell ref="B44:D44"/>
    <mergeCell ref="D4:F4"/>
    <mergeCell ref="D5:F5"/>
    <mergeCell ref="D6:F6"/>
    <mergeCell ref="D7:F7"/>
    <mergeCell ref="D8:F8"/>
    <mergeCell ref="B4:C4"/>
    <mergeCell ref="B5:C5"/>
    <mergeCell ref="B6:C6"/>
    <mergeCell ref="B7:C7"/>
    <mergeCell ref="B10:C10"/>
    <mergeCell ref="B8:C8"/>
    <mergeCell ref="B59:D59"/>
    <mergeCell ref="B61:D61"/>
    <mergeCell ref="B12:C12"/>
    <mergeCell ref="B14:C14"/>
    <mergeCell ref="B18:C18"/>
    <mergeCell ref="C36:D36"/>
    <mergeCell ref="B32:D32"/>
    <mergeCell ref="B25:D25"/>
    <mergeCell ref="B15:C15"/>
    <mergeCell ref="D15:F15"/>
    <mergeCell ref="B50:D50"/>
    <mergeCell ref="B56:D56"/>
    <mergeCell ref="B57:D57"/>
    <mergeCell ref="D12:F12"/>
    <mergeCell ref="D14:F14"/>
    <mergeCell ref="C34:D34"/>
  </mergeCells>
  <conditionalFormatting sqref="A1:A19">
    <cfRule type="beginsWith" dxfId="235" priority="54" operator="beginsWith" text="RE">
      <formula>LEFT(A1,LEN("RE"))="RE"</formula>
    </cfRule>
    <cfRule type="containsText" dxfId="234" priority="55" operator="containsText" text="&quot;RELEVANTNÍ&quot;">
      <formula>NOT(ISERROR(SEARCH("""RELEVANTNÍ""",A1)))</formula>
    </cfRule>
  </conditionalFormatting>
  <conditionalFormatting sqref="A23:A33 A35:A38 A68:A1048576">
    <cfRule type="beginsWith" dxfId="233" priority="80" operator="beginsWith" text="RE">
      <formula>LEFT(A23,LEN("RE"))="RE"</formula>
    </cfRule>
    <cfRule type="containsText" dxfId="232" priority="81" operator="containsText" text="&quot;RELEVANTNÍ&quot;">
      <formula>NOT(ISERROR(SEARCH("""RELEVANTNÍ""",A23)))</formula>
    </cfRule>
  </conditionalFormatting>
  <conditionalFormatting sqref="A40:A63">
    <cfRule type="beginsWith" dxfId="231" priority="26" operator="beginsWith" text="RE">
      <formula>LEFT(A40,LEN("RE"))="RE"</formula>
    </cfRule>
    <cfRule type="containsText" dxfId="230" priority="27" operator="containsText" text="&quot;RELEVANTNÍ&quot;">
      <formula>NOT(ISERROR(SEARCH("""RELEVANTNÍ""",A40)))</formula>
    </cfRule>
  </conditionalFormatting>
  <conditionalFormatting sqref="E21">
    <cfRule type="beginsWith" dxfId="229" priority="12" operator="beginsWith" text="RE">
      <formula>LEFT(E21,LEN("RE"))="RE"</formula>
    </cfRule>
  </conditionalFormatting>
  <conditionalFormatting sqref="E22:E24">
    <cfRule type="expression" dxfId="228" priority="53">
      <formula>$E$20="NERELEVANTNÍ"</formula>
    </cfRule>
  </conditionalFormatting>
  <conditionalFormatting sqref="E25">
    <cfRule type="containsText" dxfId="227" priority="84" operator="containsText" text="Ne">
      <formula>NOT(ISERROR(SEARCH("Ne",E25)))</formula>
    </cfRule>
    <cfRule type="containsText" dxfId="226" priority="85" operator="containsText" text="Ano">
      <formula>NOT(ISERROR(SEARCH("Ano",E25)))</formula>
    </cfRule>
  </conditionalFormatting>
  <conditionalFormatting sqref="E28">
    <cfRule type="beginsWith" dxfId="225" priority="11" operator="beginsWith" text="RE">
      <formula>LEFT(E28,LEN("RE"))="RE"</formula>
    </cfRule>
  </conditionalFormatting>
  <conditionalFormatting sqref="E29:E31">
    <cfRule type="expression" dxfId="224" priority="34">
      <formula>$E$27="NERELEVANTNÍ"</formula>
    </cfRule>
  </conditionalFormatting>
  <conditionalFormatting sqref="E30:E31">
    <cfRule type="beginsWith" dxfId="223" priority="35" operator="beginsWith" text="RE">
      <formula>LEFT(E30,LEN("RE"))="RE"</formula>
    </cfRule>
  </conditionalFormatting>
  <conditionalFormatting sqref="E32 E37 E42 E59 E61">
    <cfRule type="containsText" dxfId="222" priority="86" operator="containsText" text="Ne">
      <formula>NOT(ISERROR(SEARCH("Ne",E32)))</formula>
    </cfRule>
    <cfRule type="containsText" dxfId="221" priority="87" operator="containsText" text="Ano">
      <formula>NOT(ISERROR(SEARCH("Ano",E32)))</formula>
    </cfRule>
  </conditionalFormatting>
  <conditionalFormatting sqref="E14:F15">
    <cfRule type="beginsWith" dxfId="220" priority="19" operator="beginsWith" text="RE">
      <formula>LEFT(E14,LEN("RE"))="RE"</formula>
    </cfRule>
  </conditionalFormatting>
  <conditionalFormatting sqref="E23:F27 E1:F9 E17:F17 E18 E19:F20 F21:F22 F28:F31 E32:F34 E37 E38:F39 E42">
    <cfRule type="beginsWith" dxfId="219" priority="79" operator="beginsWith" text="RE">
      <formula>LEFT(E1,LEN("RE"))="RE"</formula>
    </cfRule>
  </conditionalFormatting>
  <conditionalFormatting sqref="E43:F46">
    <cfRule type="beginsWith" dxfId="218" priority="10" operator="beginsWith" text="RE">
      <formula>LEFT(E43,LEN("RE"))="RE"</formula>
    </cfRule>
  </conditionalFormatting>
  <conditionalFormatting sqref="E47:F48">
    <cfRule type="expression" dxfId="217" priority="30">
      <formula>$E$44="NERELEVANTNÍ"</formula>
    </cfRule>
  </conditionalFormatting>
  <conditionalFormatting sqref="E48:F48">
    <cfRule type="beginsWith" dxfId="216" priority="31" operator="beginsWith" text="RE">
      <formula>LEFT(E48,LEN("RE"))="RE"</formula>
    </cfRule>
  </conditionalFormatting>
  <conditionalFormatting sqref="E49:F52">
    <cfRule type="beginsWith" dxfId="215" priority="9" operator="beginsWith" text="RE">
      <formula>LEFT(E49,LEN("RE"))="RE"</formula>
    </cfRule>
  </conditionalFormatting>
  <conditionalFormatting sqref="E53:F55">
    <cfRule type="expression" dxfId="214" priority="28">
      <formula>$E$44="NERELEVANTNÍ"</formula>
    </cfRule>
  </conditionalFormatting>
  <conditionalFormatting sqref="E54:F54">
    <cfRule type="beginsWith" dxfId="213" priority="29" operator="beginsWith" text="RE">
      <formula>LEFT(E54,LEN("RE"))="RE"</formula>
    </cfRule>
  </conditionalFormatting>
  <conditionalFormatting sqref="E56:F1048576">
    <cfRule type="beginsWith" dxfId="212" priority="1" operator="beginsWith" text="RE">
      <formula>LEFT(E56,LEN("RE"))="RE"</formula>
    </cfRule>
  </conditionalFormatting>
  <conditionalFormatting sqref="F35:F37">
    <cfRule type="beginsWith" dxfId="211" priority="4" operator="beginsWith" text="RE">
      <formula>LEFT(F35,LEN("RE"))="RE"</formula>
    </cfRule>
  </conditionalFormatting>
  <conditionalFormatting sqref="F40:F42">
    <cfRule type="beginsWith" dxfId="210" priority="3" operator="beginsWith" text="RE">
      <formula>LEFT(F40,LEN("RE"))="RE"</formula>
    </cfRule>
  </conditionalFormatting>
  <conditionalFormatting sqref="H47:H49">
    <cfRule type="beginsWith" dxfId="209" priority="69" operator="beginsWith" text="RE">
      <formula>LEFT(H47,LEN("RE"))="RE"</formula>
    </cfRule>
  </conditionalFormatting>
  <conditionalFormatting sqref="H53:H55">
    <cfRule type="beginsWith" dxfId="208" priority="67" operator="beginsWith" text="RE">
      <formula>LEFT(H53,LEN("RE"))="RE"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'typy žadatelů'!$B$78:$B$80</xm:f>
          </x14:formula1>
          <xm:sqref>D15:F15</xm:sqref>
        </x14:dataValidation>
        <x14:dataValidation type="list" allowBlank="1" showInputMessage="1" showErrorMessage="1" xr:uid="{00000000-0002-0000-0700-000001000000}">
          <x14:formula1>
            <xm:f>'typy žadatelů'!$D$10:$D$26</xm:f>
          </x14:formula1>
          <xm:sqref>D14:F14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G61"/>
  <sheetViews>
    <sheetView topLeftCell="A31" zoomScale="117" workbookViewId="0">
      <selection activeCell="B41" sqref="B41"/>
    </sheetView>
  </sheetViews>
  <sheetFormatPr defaultRowHeight="15.75" x14ac:dyDescent="0.25"/>
  <cols>
    <col min="2" max="2" width="64.25" customWidth="1"/>
    <col min="3" max="3" width="11.125" customWidth="1"/>
    <col min="4" max="4" width="12.625" customWidth="1"/>
    <col min="5" max="5" width="17" customWidth="1"/>
    <col min="6" max="6" width="15.375" customWidth="1"/>
  </cols>
  <sheetData>
    <row r="2" spans="1:6" ht="18" x14ac:dyDescent="0.25">
      <c r="A2" s="21"/>
      <c r="B2" s="35" t="s">
        <v>272</v>
      </c>
      <c r="C2" s="47"/>
      <c r="D2" s="5"/>
      <c r="E2" s="5"/>
      <c r="F2" s="13"/>
    </row>
    <row r="3" spans="1:6" ht="16.5" thickBot="1" x14ac:dyDescent="0.3">
      <c r="A3" s="21"/>
      <c r="B3" s="13"/>
      <c r="C3" s="13"/>
      <c r="D3" s="5"/>
      <c r="E3" s="5"/>
      <c r="F3" s="13"/>
    </row>
    <row r="4" spans="1:6" x14ac:dyDescent="0.25">
      <c r="A4" s="32" t="s">
        <v>74</v>
      </c>
      <c r="B4" s="421" t="s">
        <v>80</v>
      </c>
      <c r="C4" s="422"/>
      <c r="D4" s="503">
        <f>'2. Účetnictví'!E4</f>
        <v>0</v>
      </c>
      <c r="E4" s="503"/>
      <c r="F4" s="504"/>
    </row>
    <row r="5" spans="1:6" hidden="1" x14ac:dyDescent="0.25">
      <c r="A5" s="21"/>
      <c r="B5" s="424" t="s">
        <v>0</v>
      </c>
      <c r="C5" s="413"/>
      <c r="D5" s="505"/>
      <c r="E5" s="505"/>
      <c r="F5" s="506"/>
    </row>
    <row r="6" spans="1:6" x14ac:dyDescent="0.25">
      <c r="A6" s="21"/>
      <c r="B6" s="424" t="s">
        <v>1</v>
      </c>
      <c r="C6" s="413"/>
      <c r="D6" s="505">
        <f>'2. Účetnictví'!E6</f>
        <v>0</v>
      </c>
      <c r="E6" s="505"/>
      <c r="F6" s="506"/>
    </row>
    <row r="7" spans="1:6" x14ac:dyDescent="0.25">
      <c r="A7" s="21"/>
      <c r="B7" s="424" t="s">
        <v>246</v>
      </c>
      <c r="C7" s="413"/>
      <c r="D7" s="508">
        <f>'2. Účetnictví'!E8</f>
        <v>42222</v>
      </c>
      <c r="E7" s="508"/>
      <c r="F7" s="509"/>
    </row>
    <row r="8" spans="1:6" ht="16.5" thickBot="1" x14ac:dyDescent="0.3">
      <c r="A8" s="21"/>
      <c r="B8" s="437" t="s">
        <v>273</v>
      </c>
      <c r="C8" s="438"/>
      <c r="D8" s="435" t="str">
        <f>'2. Účetnictví'!E11</f>
        <v/>
      </c>
      <c r="E8" s="435"/>
      <c r="F8" s="436"/>
    </row>
    <row r="9" spans="1:6" ht="16.5" thickBot="1" x14ac:dyDescent="0.3">
      <c r="A9" s="21"/>
      <c r="B9" s="13"/>
      <c r="C9" s="17"/>
      <c r="D9" s="5"/>
      <c r="E9" s="5"/>
      <c r="F9" s="13"/>
    </row>
    <row r="10" spans="1:6" x14ac:dyDescent="0.25">
      <c r="A10" s="21"/>
      <c r="B10" s="421" t="s">
        <v>262</v>
      </c>
      <c r="C10" s="422"/>
      <c r="D10" s="512" t="str">
        <f>'2. Účetnictví'!E16</f>
        <v>Vyberte variantu</v>
      </c>
      <c r="E10" s="512"/>
      <c r="F10" s="513"/>
    </row>
    <row r="11" spans="1:6" x14ac:dyDescent="0.25">
      <c r="A11" s="21"/>
      <c r="B11" s="459" t="s">
        <v>256</v>
      </c>
      <c r="C11" s="460"/>
      <c r="D11" s="439" t="str">
        <f>'2. Účetnictví'!E17</f>
        <v>Vyberte variantu</v>
      </c>
      <c r="E11" s="439"/>
      <c r="F11" s="514"/>
    </row>
    <row r="12" spans="1:6" ht="60.6" customHeight="1" x14ac:dyDescent="0.25">
      <c r="A12" s="21"/>
      <c r="B12" s="424" t="s">
        <v>258</v>
      </c>
      <c r="C12" s="413"/>
      <c r="D12" s="439" t="str">
        <f>'2. Účetnictví'!E18</f>
        <v>Vyberte variantu</v>
      </c>
      <c r="E12" s="439"/>
      <c r="F12" s="514"/>
    </row>
    <row r="13" spans="1:6" ht="64.900000000000006" customHeight="1" thickBot="1" x14ac:dyDescent="0.3">
      <c r="A13" s="21"/>
      <c r="B13" s="461" t="s">
        <v>255</v>
      </c>
      <c r="C13" s="462"/>
      <c r="D13" s="515" t="str">
        <f>Výpočty!D46</f>
        <v/>
      </c>
      <c r="E13" s="515"/>
      <c r="F13" s="516"/>
    </row>
    <row r="14" spans="1:6" hidden="1" x14ac:dyDescent="0.25">
      <c r="A14" s="21"/>
      <c r="B14" s="428" t="s">
        <v>79</v>
      </c>
      <c r="C14" s="429"/>
      <c r="D14" s="537" t="s">
        <v>177</v>
      </c>
      <c r="E14" s="537"/>
      <c r="F14" s="538"/>
    </row>
    <row r="15" spans="1:6" ht="16.5" hidden="1" thickBot="1" x14ac:dyDescent="0.3">
      <c r="A15" s="21"/>
      <c r="B15" s="533" t="s">
        <v>248</v>
      </c>
      <c r="C15" s="534"/>
      <c r="D15" s="535" t="s">
        <v>71</v>
      </c>
      <c r="E15" s="535"/>
      <c r="F15" s="536"/>
    </row>
    <row r="17" spans="1:5" ht="16.5" thickBot="1" x14ac:dyDescent="0.3"/>
    <row r="18" spans="1:5" ht="16.5" thickBot="1" x14ac:dyDescent="0.3">
      <c r="A18" s="32" t="s">
        <v>75</v>
      </c>
      <c r="B18" s="485" t="s">
        <v>90</v>
      </c>
      <c r="C18" s="486"/>
      <c r="D18" s="44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41"/>
    </row>
    <row r="19" spans="1:5" ht="16.5" thickBot="1" x14ac:dyDescent="0.3">
      <c r="A19" s="21"/>
      <c r="B19" s="13"/>
      <c r="C19" s="13"/>
      <c r="D19" s="5"/>
      <c r="E19" s="5"/>
    </row>
    <row r="20" spans="1:5" ht="15.6" customHeight="1" x14ac:dyDescent="0.25">
      <c r="A20" s="21"/>
      <c r="B20" s="421" t="s">
        <v>286</v>
      </c>
      <c r="C20" s="445" t="s">
        <v>61</v>
      </c>
      <c r="D20" s="543" t="s">
        <v>64</v>
      </c>
      <c r="E20" s="28" t="str">
        <f>IF(OR(D18="kritéria A,C,D,E",D18="kritéria A,C,D"),"RELEVANTNÍ","NERELEVANTNÍ")</f>
        <v>NERELEVANTNÍ</v>
      </c>
    </row>
    <row r="21" spans="1:5" x14ac:dyDescent="0.25">
      <c r="A21" s="21"/>
      <c r="B21" s="424"/>
      <c r="C21" s="446"/>
      <c r="D21" s="544"/>
      <c r="E21" s="33" t="str">
        <f>IF($D$8&gt;1,$D$8,"")</f>
        <v/>
      </c>
    </row>
    <row r="22" spans="1:5" ht="30.6" customHeight="1" x14ac:dyDescent="0.25">
      <c r="A22" s="21"/>
      <c r="B22" s="29" t="s">
        <v>15</v>
      </c>
      <c r="C22" s="30" t="s">
        <v>293</v>
      </c>
      <c r="D22" s="30" t="s">
        <v>290</v>
      </c>
      <c r="E22" s="50">
        <f>'2. Účetnictví'!F28</f>
        <v>0</v>
      </c>
    </row>
    <row r="23" spans="1:5" ht="31.15" customHeight="1" x14ac:dyDescent="0.25">
      <c r="A23" s="21"/>
      <c r="B23" s="29" t="s">
        <v>30</v>
      </c>
      <c r="C23" s="30" t="s">
        <v>293</v>
      </c>
      <c r="D23" s="30" t="s">
        <v>288</v>
      </c>
      <c r="E23" s="50">
        <f>'2. Účetnictví'!F29</f>
        <v>0</v>
      </c>
    </row>
    <row r="24" spans="1:5" x14ac:dyDescent="0.25">
      <c r="A24" s="21"/>
      <c r="B24" s="29" t="s">
        <v>72</v>
      </c>
      <c r="C24" s="30" t="s">
        <v>293</v>
      </c>
      <c r="D24" s="30" t="s">
        <v>289</v>
      </c>
      <c r="E24" s="50">
        <f>'2. Účetnictví'!F30</f>
        <v>0</v>
      </c>
    </row>
    <row r="25" spans="1:5" ht="25.9" customHeight="1" thickBot="1" x14ac:dyDescent="0.3">
      <c r="A25" s="21"/>
      <c r="B25" s="522" t="s">
        <v>14</v>
      </c>
      <c r="C25" s="523"/>
      <c r="D25" s="524"/>
      <c r="E25" s="25" t="str">
        <f>IF(E22&lt;((E23+E24)/2),"Ano","Ne")</f>
        <v>Ne</v>
      </c>
    </row>
    <row r="26" spans="1:5" ht="16.5" thickBot="1" x14ac:dyDescent="0.3">
      <c r="A26" s="21"/>
      <c r="B26" s="13"/>
      <c r="C26" s="13"/>
      <c r="D26" s="21"/>
      <c r="E26" s="21"/>
    </row>
    <row r="27" spans="1:5" x14ac:dyDescent="0.25">
      <c r="A27" s="21"/>
      <c r="B27" s="540" t="s">
        <v>287</v>
      </c>
      <c r="C27" s="520" t="s">
        <v>61</v>
      </c>
      <c r="D27" s="520" t="s">
        <v>64</v>
      </c>
      <c r="E27" s="28" t="str">
        <f>IF(OR(D18="kritéria B,C,D,E",D18="kritéria B,C,D"),"RELEVANTNÍ","NERELEVANTNÍ")</f>
        <v>NERELEVANTNÍ</v>
      </c>
    </row>
    <row r="28" spans="1:5" x14ac:dyDescent="0.25">
      <c r="A28" s="21"/>
      <c r="B28" s="428"/>
      <c r="C28" s="521"/>
      <c r="D28" s="521"/>
      <c r="E28" s="33" t="str">
        <f>IF($D$8&gt;1,$D$8,"")</f>
        <v/>
      </c>
    </row>
    <row r="29" spans="1:5" ht="28.5" x14ac:dyDescent="0.25">
      <c r="A29" s="21"/>
      <c r="B29" s="29" t="s">
        <v>15</v>
      </c>
      <c r="C29" s="30" t="s">
        <v>293</v>
      </c>
      <c r="D29" s="30" t="s">
        <v>290</v>
      </c>
      <c r="E29" s="50">
        <f>'2. Účetnictví'!F35</f>
        <v>0</v>
      </c>
    </row>
    <row r="30" spans="1:5" ht="31.15" customHeight="1" x14ac:dyDescent="0.25">
      <c r="A30" s="21"/>
      <c r="B30" s="29" t="s">
        <v>10</v>
      </c>
      <c r="C30" s="30" t="s">
        <v>293</v>
      </c>
      <c r="D30" s="31" t="s">
        <v>291</v>
      </c>
      <c r="E30" s="50">
        <f>'2. Účetnictví'!F36</f>
        <v>0</v>
      </c>
    </row>
    <row r="31" spans="1:5" ht="35.450000000000003" customHeight="1" x14ac:dyDescent="0.25">
      <c r="A31" s="21"/>
      <c r="B31" s="29" t="s">
        <v>12</v>
      </c>
      <c r="C31" s="30" t="s">
        <v>293</v>
      </c>
      <c r="D31" s="31" t="s">
        <v>292</v>
      </c>
      <c r="E31" s="50">
        <f>'2. Účetnictví'!F37</f>
        <v>0</v>
      </c>
    </row>
    <row r="32" spans="1:5" ht="33" customHeight="1" thickBot="1" x14ac:dyDescent="0.3">
      <c r="A32" s="21"/>
      <c r="B32" s="450" t="s">
        <v>17</v>
      </c>
      <c r="C32" s="451"/>
      <c r="D32" s="451"/>
      <c r="E32" s="25" t="str">
        <f>IF(AND((E30+E31)&gt;0,E29&gt;0),"Ne",(IF((ABS(E30+E31))&gt;((E29-(E30+E31))/2),"Ano","Ne")))</f>
        <v>Ne</v>
      </c>
    </row>
    <row r="34" spans="2:7" ht="37.9" customHeight="1" x14ac:dyDescent="0.25">
      <c r="B34" s="27" t="s">
        <v>102</v>
      </c>
      <c r="C34" s="403" t="s">
        <v>61</v>
      </c>
      <c r="D34" s="403"/>
      <c r="E34" s="28" t="s">
        <v>46</v>
      </c>
      <c r="F34" s="13"/>
    </row>
    <row r="35" spans="2:7" ht="43.9" customHeight="1" x14ac:dyDescent="0.25">
      <c r="B35" s="44" t="s">
        <v>323</v>
      </c>
      <c r="C35" s="447" t="s">
        <v>63</v>
      </c>
      <c r="D35" s="447"/>
      <c r="E35" s="54" t="str">
        <f>'2. Účetnictví'!F41</f>
        <v>Vyberte variantu</v>
      </c>
      <c r="F35" s="545" t="s">
        <v>325</v>
      </c>
      <c r="G35" s="519"/>
    </row>
    <row r="36" spans="2:7" ht="25.9" customHeight="1" x14ac:dyDescent="0.25">
      <c r="B36" s="44" t="s">
        <v>324</v>
      </c>
      <c r="C36" s="447" t="s">
        <v>69</v>
      </c>
      <c r="D36" s="447"/>
      <c r="E36" s="54" t="str">
        <f>'2. Účetnictví'!F42</f>
        <v>Vyberte variantu</v>
      </c>
      <c r="F36" s="545"/>
      <c r="G36" s="519"/>
    </row>
    <row r="37" spans="2:7" ht="25.9" customHeight="1" thickBot="1" x14ac:dyDescent="0.3">
      <c r="B37" s="448" t="s">
        <v>19</v>
      </c>
      <c r="C37" s="449"/>
      <c r="D37" s="449"/>
      <c r="E37" s="25" t="str">
        <f>IF(OR(E35="Ano",E36="Ano"),"Ano","Ne")</f>
        <v>Ne</v>
      </c>
      <c r="F37" s="43" t="s">
        <v>366</v>
      </c>
    </row>
    <row r="38" spans="2:7" ht="16.5" thickBot="1" x14ac:dyDescent="0.3">
      <c r="B38" s="12"/>
      <c r="C38" s="12"/>
      <c r="D38" s="9"/>
      <c r="E38" s="5"/>
      <c r="F38" s="13"/>
    </row>
    <row r="39" spans="2:7" ht="24" customHeight="1" x14ac:dyDescent="0.25">
      <c r="B39" s="27" t="s">
        <v>103</v>
      </c>
      <c r="C39" s="403" t="s">
        <v>61</v>
      </c>
      <c r="D39" s="403"/>
      <c r="E39" s="28" t="s">
        <v>46</v>
      </c>
      <c r="F39" s="13"/>
    </row>
    <row r="40" spans="2:7" ht="45" customHeight="1" x14ac:dyDescent="0.25">
      <c r="B40" s="44" t="s">
        <v>517</v>
      </c>
      <c r="C40" s="447" t="s">
        <v>69</v>
      </c>
      <c r="D40" s="447"/>
      <c r="E40" s="54" t="str">
        <f>'2. Účetnictví'!F46</f>
        <v>Vyberte variantu</v>
      </c>
      <c r="F40" s="13"/>
    </row>
    <row r="41" spans="2:7" ht="41.45" customHeight="1" x14ac:dyDescent="0.25">
      <c r="B41" s="44" t="s">
        <v>176</v>
      </c>
      <c r="C41" s="447" t="s">
        <v>69</v>
      </c>
      <c r="D41" s="447"/>
      <c r="E41" s="54" t="str">
        <f>'2. Účetnictví'!F47</f>
        <v>Vyberte variantu</v>
      </c>
      <c r="F41" s="13"/>
    </row>
    <row r="42" spans="2:7" ht="16.5" thickBot="1" x14ac:dyDescent="0.3">
      <c r="B42" s="448" t="s">
        <v>20</v>
      </c>
      <c r="C42" s="449"/>
      <c r="D42" s="449"/>
      <c r="E42" s="25" t="str">
        <f>IF(OR(E40="Ano",E41="Ano"),"Ano","Ne")</f>
        <v>Ne</v>
      </c>
      <c r="F42" s="43" t="s">
        <v>366</v>
      </c>
    </row>
    <row r="43" spans="2:7" ht="16.5" thickBot="1" x14ac:dyDescent="0.3">
      <c r="B43" s="12"/>
      <c r="C43" s="12"/>
      <c r="D43" s="9"/>
      <c r="E43" s="5"/>
      <c r="F43" s="13"/>
    </row>
    <row r="44" spans="2:7" ht="16.5" thickBot="1" x14ac:dyDescent="0.3">
      <c r="B44" s="454" t="s">
        <v>104</v>
      </c>
      <c r="C44" s="455"/>
      <c r="D44" s="456"/>
      <c r="E44" s="26" t="str">
        <f>IF(OR(D18="kritéria A,C,D,E",D18="kritéria B,C,D,E",D18="kritéria C,D,E"),"RELEVANTNÍ","NERELEVANTNÍ")</f>
        <v>NERELEVANTNÍ</v>
      </c>
      <c r="F44" s="17"/>
    </row>
    <row r="45" spans="2:7" ht="16.5" thickBot="1" x14ac:dyDescent="0.3">
      <c r="B45" s="12"/>
      <c r="C45" s="12"/>
      <c r="D45" s="9"/>
      <c r="E45" s="21"/>
      <c r="F45" s="21"/>
    </row>
    <row r="46" spans="2:7" ht="29.45" customHeight="1" x14ac:dyDescent="0.25">
      <c r="B46" s="22" t="s">
        <v>105</v>
      </c>
      <c r="C46" s="45" t="s">
        <v>61</v>
      </c>
      <c r="D46" s="45" t="s">
        <v>98</v>
      </c>
      <c r="E46" s="23" t="str">
        <f>IF($D$8&gt;1,$D$8,"")</f>
        <v/>
      </c>
      <c r="F46" s="24" t="e">
        <f>IF($D$8&gt;1,$D$8-1,"")</f>
        <v>#VALUE!</v>
      </c>
    </row>
    <row r="47" spans="2:7" ht="28.9" customHeight="1" x14ac:dyDescent="0.25">
      <c r="B47" s="18" t="s">
        <v>15</v>
      </c>
      <c r="C47" s="19" t="s">
        <v>293</v>
      </c>
      <c r="D47" s="19" t="s">
        <v>290</v>
      </c>
      <c r="E47" s="49">
        <f>'2. Účetnictví'!F54</f>
        <v>0</v>
      </c>
      <c r="F47" s="50">
        <f>'2. Účetnictví'!G54</f>
        <v>0</v>
      </c>
    </row>
    <row r="48" spans="2:7" ht="26.45" customHeight="1" x14ac:dyDescent="0.25">
      <c r="B48" s="18" t="s">
        <v>99</v>
      </c>
      <c r="C48" s="19" t="s">
        <v>293</v>
      </c>
      <c r="D48" s="20" t="s">
        <v>294</v>
      </c>
      <c r="E48" s="49">
        <f>'2. Účetnictví'!F55</f>
        <v>0</v>
      </c>
      <c r="F48" s="50">
        <f>'2. Účetnictví'!G55</f>
        <v>0</v>
      </c>
    </row>
    <row r="49" spans="2:6" ht="25.9" customHeight="1" x14ac:dyDescent="0.25">
      <c r="B49" s="407" t="s">
        <v>88</v>
      </c>
      <c r="C49" s="408"/>
      <c r="D49" s="408"/>
      <c r="E49" s="6" t="str">
        <f>IF((E47)=0,"NR",(E48/E47))</f>
        <v>NR</v>
      </c>
      <c r="F49" s="7" t="str">
        <f>IF((F47)=0,"NR",(F48/F47))</f>
        <v>NR</v>
      </c>
    </row>
    <row r="50" spans="2:6" ht="24" customHeight="1" thickBot="1" x14ac:dyDescent="0.3">
      <c r="B50" s="448" t="s">
        <v>22</v>
      </c>
      <c r="C50" s="449"/>
      <c r="D50" s="449"/>
      <c r="E50" s="10" t="str">
        <f>IF((E47)="0","Ano",IF((E49)&lt;0,"Chyba",IF(E49&gt;7.5,"Ano","Ne")))</f>
        <v>Ano</v>
      </c>
      <c r="F50" s="11" t="str">
        <f>IF((F47)="0","Ano",IF((F49)&lt;0,"Chyba",IF(F49&gt;7.5,"Ano","Ne")))</f>
        <v>Ano</v>
      </c>
    </row>
    <row r="51" spans="2:6" ht="16.5" thickBot="1" x14ac:dyDescent="0.3">
      <c r="B51" s="12"/>
      <c r="C51" s="12"/>
      <c r="D51" s="9"/>
      <c r="E51" s="21"/>
      <c r="F51" s="21"/>
    </row>
    <row r="52" spans="2:6" ht="28.9" customHeight="1" x14ac:dyDescent="0.25">
      <c r="B52" s="22" t="s">
        <v>106</v>
      </c>
      <c r="C52" s="45" t="s">
        <v>61</v>
      </c>
      <c r="D52" s="45" t="s">
        <v>98</v>
      </c>
      <c r="E52" s="23" t="str">
        <f>IF($D$8&gt;1,$D$8,"")</f>
        <v/>
      </c>
      <c r="F52" s="24" t="e">
        <f>IF($D$8&gt;1,$D$8-1,"")</f>
        <v>#VALUE!</v>
      </c>
    </row>
    <row r="53" spans="2:6" x14ac:dyDescent="0.25">
      <c r="B53" s="18" t="s">
        <v>23</v>
      </c>
      <c r="C53" s="19" t="s">
        <v>50</v>
      </c>
      <c r="D53" s="20" t="s">
        <v>295</v>
      </c>
      <c r="E53" s="49">
        <f>'2. Účetnictví'!F61</f>
        <v>0</v>
      </c>
      <c r="F53" s="50">
        <f>'2. Účetnictví'!G61</f>
        <v>0</v>
      </c>
    </row>
    <row r="54" spans="2:6" x14ac:dyDescent="0.25">
      <c r="B54" s="18" t="s">
        <v>25</v>
      </c>
      <c r="C54" s="19" t="s">
        <v>50</v>
      </c>
      <c r="D54" s="20" t="s">
        <v>296</v>
      </c>
      <c r="E54" s="49">
        <f>'2. Účetnictví'!F62</f>
        <v>0</v>
      </c>
      <c r="F54" s="50">
        <f>'2. Účetnictví'!G62</f>
        <v>0</v>
      </c>
    </row>
    <row r="55" spans="2:6" ht="22.15" customHeight="1" x14ac:dyDescent="0.25">
      <c r="B55" s="18" t="s">
        <v>27</v>
      </c>
      <c r="C55" s="19" t="s">
        <v>50</v>
      </c>
      <c r="D55" s="20" t="s">
        <v>297</v>
      </c>
      <c r="E55" s="49">
        <f>'2. Účetnictví'!F63</f>
        <v>0</v>
      </c>
      <c r="F55" s="50">
        <f>'2. Účetnictví'!G63</f>
        <v>0</v>
      </c>
    </row>
    <row r="56" spans="2:6" x14ac:dyDescent="0.25">
      <c r="B56" s="407" t="s">
        <v>89</v>
      </c>
      <c r="C56" s="408"/>
      <c r="D56" s="408"/>
      <c r="E56" s="6" t="str">
        <f>IF(E54=0,"NR",(E53+E54+E55)/E54)</f>
        <v>NR</v>
      </c>
      <c r="F56" s="7" t="str">
        <f>IF(F54=0,"NR",(F53+F54+F55)/F54)</f>
        <v>NR</v>
      </c>
    </row>
    <row r="57" spans="2:6" ht="16.5" thickBot="1" x14ac:dyDescent="0.3">
      <c r="B57" s="448" t="s">
        <v>107</v>
      </c>
      <c r="C57" s="449"/>
      <c r="D57" s="449"/>
      <c r="E57" s="10" t="str">
        <f>IF((E56)="NR","NR",IF((E56)&lt;1,"Ano","Ne"))</f>
        <v>NR</v>
      </c>
      <c r="F57" s="11" t="str">
        <f>IF((F56)="NR","NR",IF((F56)&lt;1,"Ano","Ne"))</f>
        <v>NR</v>
      </c>
    </row>
    <row r="58" spans="2:6" ht="16.5" thickBot="1" x14ac:dyDescent="0.3">
      <c r="B58" s="12"/>
      <c r="C58" s="12"/>
      <c r="D58" s="9"/>
      <c r="E58" s="5"/>
      <c r="F58" s="13"/>
    </row>
    <row r="59" spans="2:6" ht="16.5" thickBot="1" x14ac:dyDescent="0.3">
      <c r="B59" s="468" t="s">
        <v>29</v>
      </c>
      <c r="C59" s="469"/>
      <c r="D59" s="470"/>
      <c r="E59" s="14" t="str">
        <f>IF(AND(E50="ANO",F50="Ano",E57="Ano",F57="Ano"),"Ano","Ne")</f>
        <v>Ne</v>
      </c>
      <c r="F59" s="43" t="s">
        <v>366</v>
      </c>
    </row>
    <row r="60" spans="2:6" ht="16.5" thickBot="1" x14ac:dyDescent="0.3">
      <c r="B60" s="12"/>
      <c r="C60" s="12"/>
      <c r="D60" s="9"/>
      <c r="E60" s="5"/>
      <c r="F60" s="13"/>
    </row>
    <row r="61" spans="2:6" ht="16.5" thickBot="1" x14ac:dyDescent="0.3">
      <c r="B61" s="465" t="s">
        <v>108</v>
      </c>
      <c r="C61" s="466"/>
      <c r="D61" s="467"/>
      <c r="E61" s="16" t="str">
        <f>IF(OR(E25="ANO",E32="Ano",E37="Ano",E42="Ano",E59="Ano"),"Ano","Ne")</f>
        <v>Ne</v>
      </c>
      <c r="F61" s="55"/>
    </row>
  </sheetData>
  <sheetProtection algorithmName="SHA-512" hashValue="6dzy2nZlJIUP37Rv6RuYEDb3cnPglskfreR+cPV5L6xq419wkEvPPY43e/0bxFp5ISei8vpJtoNg9nlVFBxeuA==" saltValue="z4jPqWihToYS5IHeU9dY6g==" spinCount="100000" sheet="1" objects="1" scenarios="1"/>
  <mergeCells count="48">
    <mergeCell ref="F35:G36"/>
    <mergeCell ref="B61:D61"/>
    <mergeCell ref="B44:D44"/>
    <mergeCell ref="B49:D49"/>
    <mergeCell ref="B50:D50"/>
    <mergeCell ref="B56:D56"/>
    <mergeCell ref="B57:D57"/>
    <mergeCell ref="B59:D59"/>
    <mergeCell ref="B42:D42"/>
    <mergeCell ref="C35:D35"/>
    <mergeCell ref="C36:D36"/>
    <mergeCell ref="B37:D37"/>
    <mergeCell ref="C39:D39"/>
    <mergeCell ref="C40:D40"/>
    <mergeCell ref="C41:D41"/>
    <mergeCell ref="B27:B28"/>
    <mergeCell ref="C27:C28"/>
    <mergeCell ref="D27:D28"/>
    <mergeCell ref="B32:D32"/>
    <mergeCell ref="C34:D34"/>
    <mergeCell ref="B25:D25"/>
    <mergeCell ref="B13:C13"/>
    <mergeCell ref="D13:F13"/>
    <mergeCell ref="B14:C14"/>
    <mergeCell ref="D14:F14"/>
    <mergeCell ref="B15:C15"/>
    <mergeCell ref="D15:F15"/>
    <mergeCell ref="B18:C18"/>
    <mergeCell ref="D18:E18"/>
    <mergeCell ref="B20:B21"/>
    <mergeCell ref="C20:C21"/>
    <mergeCell ref="D20:D21"/>
    <mergeCell ref="B10:C10"/>
    <mergeCell ref="D10:F10"/>
    <mergeCell ref="B11:C11"/>
    <mergeCell ref="D11:F11"/>
    <mergeCell ref="B12:C12"/>
    <mergeCell ref="D12:F12"/>
    <mergeCell ref="B7:C7"/>
    <mergeCell ref="D7:F7"/>
    <mergeCell ref="B8:C8"/>
    <mergeCell ref="D8:F8"/>
    <mergeCell ref="B4:C4"/>
    <mergeCell ref="D4:F4"/>
    <mergeCell ref="B5:C5"/>
    <mergeCell ref="D5:F5"/>
    <mergeCell ref="B6:C6"/>
    <mergeCell ref="D6:F6"/>
  </mergeCells>
  <conditionalFormatting sqref="A1:A19">
    <cfRule type="beginsWith" dxfId="207" priority="29" operator="beginsWith" text="RE">
      <formula>LEFT(A1,LEN("RE"))="RE"</formula>
    </cfRule>
    <cfRule type="containsText" dxfId="206" priority="30" operator="containsText" text="&quot;RELEVANTNÍ&quot;">
      <formula>NOT(ISERROR(SEARCH("""RELEVANTNÍ""",A1)))</formula>
    </cfRule>
  </conditionalFormatting>
  <conditionalFormatting sqref="A23:A33 A35:A38">
    <cfRule type="beginsWith" dxfId="205" priority="40" operator="beginsWith" text="RE">
      <formula>LEFT(A23,LEN("RE"))="RE"</formula>
    </cfRule>
    <cfRule type="containsText" dxfId="204" priority="41" operator="containsText" text="&quot;RELEVANTNÍ&quot;">
      <formula>NOT(ISERROR(SEARCH("""RELEVANTNÍ""",A23)))</formula>
    </cfRule>
  </conditionalFormatting>
  <conditionalFormatting sqref="A40:A61">
    <cfRule type="beginsWith" dxfId="203" priority="18" operator="beginsWith" text="RE">
      <formula>LEFT(A40,LEN("RE"))="RE"</formula>
    </cfRule>
    <cfRule type="containsText" dxfId="202" priority="19" operator="containsText" text="&quot;RELEVANTNÍ&quot;">
      <formula>NOT(ISERROR(SEARCH("""RELEVANTNÍ""",A40)))</formula>
    </cfRule>
  </conditionalFormatting>
  <conditionalFormatting sqref="E21">
    <cfRule type="beginsWith" dxfId="201" priority="10" operator="beginsWith" text="RE">
      <formula>LEFT(E21,LEN("RE"))="RE"</formula>
    </cfRule>
  </conditionalFormatting>
  <conditionalFormatting sqref="E22:E24">
    <cfRule type="expression" dxfId="200" priority="28">
      <formula>$E$20="NERELEVANTNÍ"</formula>
    </cfRule>
  </conditionalFormatting>
  <conditionalFormatting sqref="E25">
    <cfRule type="containsText" dxfId="199" priority="42" operator="containsText" text="Ne">
      <formula>NOT(ISERROR(SEARCH("Ne",E25)))</formula>
    </cfRule>
    <cfRule type="containsText" dxfId="198" priority="43" operator="containsText" text="Ano">
      <formula>NOT(ISERROR(SEARCH("Ano",E25)))</formula>
    </cfRule>
  </conditionalFormatting>
  <conditionalFormatting sqref="E28">
    <cfRule type="beginsWith" dxfId="197" priority="9" operator="beginsWith" text="RE">
      <formula>LEFT(E28,LEN("RE"))="RE"</formula>
    </cfRule>
  </conditionalFormatting>
  <conditionalFormatting sqref="E29:E31">
    <cfRule type="expression" dxfId="196" priority="26">
      <formula>$E$27="NERELEVANTNÍ"</formula>
    </cfRule>
  </conditionalFormatting>
  <conditionalFormatting sqref="E30:E31">
    <cfRule type="beginsWith" dxfId="195" priority="27" operator="beginsWith" text="RE">
      <formula>LEFT(E30,LEN("RE"))="RE"</formula>
    </cfRule>
  </conditionalFormatting>
  <conditionalFormatting sqref="E32 E37 E42 E59 E61">
    <cfRule type="containsText" dxfId="194" priority="45" operator="containsText" text="Ano">
      <formula>NOT(ISERROR(SEARCH("Ano",E32)))</formula>
    </cfRule>
  </conditionalFormatting>
  <conditionalFormatting sqref="E32 E42 E37 E59 E61">
    <cfRule type="containsText" dxfId="193" priority="44" operator="containsText" text="Ne">
      <formula>NOT(ISERROR(SEARCH("Ne",E32)))</formula>
    </cfRule>
  </conditionalFormatting>
  <conditionalFormatting sqref="E14:F15">
    <cfRule type="beginsWith" dxfId="192" priority="15" operator="beginsWith" text="RE">
      <formula>LEFT(E14,LEN("RE"))="RE"</formula>
    </cfRule>
  </conditionalFormatting>
  <conditionalFormatting sqref="E23:F27 E1:F9 E17:F17 E18 E19:F20 F21:F22 F28:F31 E32:F34 E42">
    <cfRule type="beginsWith" dxfId="191" priority="39" operator="beginsWith" text="RE">
      <formula>LEFT(E1,LEN("RE"))="RE"</formula>
    </cfRule>
  </conditionalFormatting>
  <conditionalFormatting sqref="E37:F39">
    <cfRule type="beginsWith" dxfId="190" priority="4" operator="beginsWith" text="RE">
      <formula>LEFT(E37,LEN("RE"))="RE"</formula>
    </cfRule>
  </conditionalFormatting>
  <conditionalFormatting sqref="E43:F46">
    <cfRule type="beginsWith" dxfId="189" priority="8" operator="beginsWith" text="RE">
      <formula>LEFT(E43,LEN("RE"))="RE"</formula>
    </cfRule>
  </conditionalFormatting>
  <conditionalFormatting sqref="E47:F48">
    <cfRule type="expression" dxfId="188" priority="22">
      <formula>$E$44="NERELEVANTNÍ"</formula>
    </cfRule>
  </conditionalFormatting>
  <conditionalFormatting sqref="E48:F48">
    <cfRule type="beginsWith" dxfId="187" priority="23" operator="beginsWith" text="RE">
      <formula>LEFT(E48,LEN("RE"))="RE"</formula>
    </cfRule>
  </conditionalFormatting>
  <conditionalFormatting sqref="E49:F52">
    <cfRule type="beginsWith" dxfId="186" priority="7" operator="beginsWith" text="RE">
      <formula>LEFT(E49,LEN("RE"))="RE"</formula>
    </cfRule>
  </conditionalFormatting>
  <conditionalFormatting sqref="E53:F55">
    <cfRule type="expression" dxfId="185" priority="20">
      <formula>$E$44="NERELEVANTNÍ"</formula>
    </cfRule>
  </conditionalFormatting>
  <conditionalFormatting sqref="E54:F54">
    <cfRule type="beginsWith" dxfId="184" priority="21" operator="beginsWith" text="RE">
      <formula>LEFT(E54,LEN("RE"))="RE"</formula>
    </cfRule>
  </conditionalFormatting>
  <conditionalFormatting sqref="E56:F61">
    <cfRule type="beginsWith" dxfId="183" priority="1" operator="beginsWith" text="RE">
      <formula>LEFT(E56,LEN("RE"))="RE"</formula>
    </cfRule>
  </conditionalFormatting>
  <conditionalFormatting sqref="F35">
    <cfRule type="beginsWith" dxfId="182" priority="5" operator="beginsWith" text="RE">
      <formula>LEFT(F35,LEN("RE"))="RE"</formula>
    </cfRule>
  </conditionalFormatting>
  <conditionalFormatting sqref="F40:F42">
    <cfRule type="beginsWith" dxfId="181" priority="3" operator="beginsWith" text="RE">
      <formula>LEFT(F40,LEN("RE"))="RE"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'typy žadatelů'!$D$10:$D$26</xm:f>
          </x14:formula1>
          <xm:sqref>D14:F14</xm:sqref>
        </x14:dataValidation>
        <x14:dataValidation type="list" allowBlank="1" showInputMessage="1" showErrorMessage="1" xr:uid="{00000000-0002-0000-0800-000001000000}">
          <x14:formula1>
            <xm:f>'typy žadatelů'!$B$78:$B$80</xm:f>
          </x14:formula1>
          <xm:sqref>D15:F15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G61"/>
  <sheetViews>
    <sheetView topLeftCell="A31" zoomScale="113" workbookViewId="0">
      <selection activeCell="B41" sqref="B41"/>
    </sheetView>
  </sheetViews>
  <sheetFormatPr defaultRowHeight="15.75" x14ac:dyDescent="0.25"/>
  <cols>
    <col min="2" max="2" width="64.25" customWidth="1"/>
    <col min="3" max="3" width="11.125" customWidth="1"/>
    <col min="4" max="4" width="12.625" customWidth="1"/>
    <col min="5" max="5" width="17" customWidth="1"/>
    <col min="6" max="6" width="15.5" customWidth="1"/>
  </cols>
  <sheetData>
    <row r="2" spans="1:6" ht="18" x14ac:dyDescent="0.25">
      <c r="A2" s="21"/>
      <c r="B2" s="35" t="s">
        <v>272</v>
      </c>
      <c r="C2" s="47"/>
      <c r="D2" s="5"/>
      <c r="E2" s="5"/>
      <c r="F2" s="13"/>
    </row>
    <row r="3" spans="1:6" ht="16.5" thickBot="1" x14ac:dyDescent="0.3">
      <c r="A3" s="21"/>
      <c r="B3" s="13"/>
      <c r="C3" s="13"/>
      <c r="D3" s="5"/>
      <c r="E3" s="5"/>
      <c r="F3" s="13"/>
    </row>
    <row r="4" spans="1:6" ht="23.45" customHeight="1" x14ac:dyDescent="0.25">
      <c r="A4" s="32" t="s">
        <v>74</v>
      </c>
      <c r="B4" s="421" t="s">
        <v>80</v>
      </c>
      <c r="C4" s="422"/>
      <c r="D4" s="503">
        <f>'2. Účetnictví'!E4</f>
        <v>0</v>
      </c>
      <c r="E4" s="503"/>
      <c r="F4" s="504"/>
    </row>
    <row r="5" spans="1:6" ht="25.15" hidden="1" customHeight="1" x14ac:dyDescent="0.25">
      <c r="A5" s="21"/>
      <c r="B5" s="424" t="s">
        <v>0</v>
      </c>
      <c r="C5" s="413"/>
      <c r="D5" s="505"/>
      <c r="E5" s="505"/>
      <c r="F5" s="506"/>
    </row>
    <row r="6" spans="1:6" ht="25.9" customHeight="1" x14ac:dyDescent="0.25">
      <c r="A6" s="21"/>
      <c r="B6" s="424" t="s">
        <v>1</v>
      </c>
      <c r="C6" s="413"/>
      <c r="D6" s="505">
        <f>'2. Účetnictví'!E6</f>
        <v>0</v>
      </c>
      <c r="E6" s="505"/>
      <c r="F6" s="506"/>
    </row>
    <row r="7" spans="1:6" ht="25.9" customHeight="1" x14ac:dyDescent="0.25">
      <c r="A7" s="21"/>
      <c r="B7" s="424" t="s">
        <v>246</v>
      </c>
      <c r="C7" s="413"/>
      <c r="D7" s="508">
        <f>'2. Účetnictví'!E8</f>
        <v>42222</v>
      </c>
      <c r="E7" s="508"/>
      <c r="F7" s="509"/>
    </row>
    <row r="8" spans="1:6" ht="30" customHeight="1" thickBot="1" x14ac:dyDescent="0.3">
      <c r="A8" s="21"/>
      <c r="B8" s="437" t="s">
        <v>273</v>
      </c>
      <c r="C8" s="438"/>
      <c r="D8" s="435" t="str">
        <f>'2. Účetnictví'!E11</f>
        <v/>
      </c>
      <c r="E8" s="435"/>
      <c r="F8" s="436"/>
    </row>
    <row r="9" spans="1:6" ht="16.5" thickBot="1" x14ac:dyDescent="0.3">
      <c r="A9" s="21"/>
      <c r="B9" s="13"/>
      <c r="C9" s="17"/>
      <c r="D9" s="5"/>
      <c r="E9" s="5"/>
      <c r="F9" s="13"/>
    </row>
    <row r="10" spans="1:6" ht="24.6" customHeight="1" x14ac:dyDescent="0.25">
      <c r="A10" s="21"/>
      <c r="B10" s="421" t="s">
        <v>262</v>
      </c>
      <c r="C10" s="539"/>
      <c r="D10" s="512" t="str">
        <f>'2. Účetnictví'!E16</f>
        <v>Vyberte variantu</v>
      </c>
      <c r="E10" s="512"/>
      <c r="F10" s="513"/>
    </row>
    <row r="11" spans="1:6" ht="25.9" customHeight="1" x14ac:dyDescent="0.25">
      <c r="A11" s="21"/>
      <c r="B11" s="459" t="s">
        <v>256</v>
      </c>
      <c r="C11" s="541"/>
      <c r="D11" s="439" t="str">
        <f>'2. Účetnictví'!E17</f>
        <v>Vyberte variantu</v>
      </c>
      <c r="E11" s="439"/>
      <c r="F11" s="514"/>
    </row>
    <row r="12" spans="1:6" ht="60.6" customHeight="1" x14ac:dyDescent="0.25">
      <c r="A12" s="21"/>
      <c r="B12" s="424" t="s">
        <v>258</v>
      </c>
      <c r="C12" s="532"/>
      <c r="D12" s="439" t="str">
        <f>'2. Účetnictví'!E18</f>
        <v>Vyberte variantu</v>
      </c>
      <c r="E12" s="439"/>
      <c r="F12" s="514"/>
    </row>
    <row r="13" spans="1:6" ht="77.45" customHeight="1" thickBot="1" x14ac:dyDescent="0.3">
      <c r="A13" s="21"/>
      <c r="B13" s="461" t="s">
        <v>255</v>
      </c>
      <c r="C13" s="542"/>
      <c r="D13" s="515" t="str">
        <f>Výpočty!D46</f>
        <v/>
      </c>
      <c r="E13" s="515"/>
      <c r="F13" s="516"/>
    </row>
    <row r="14" spans="1:6" hidden="1" x14ac:dyDescent="0.25">
      <c r="A14" s="21"/>
      <c r="B14" s="428" t="s">
        <v>79</v>
      </c>
      <c r="C14" s="429"/>
      <c r="D14" s="537" t="s">
        <v>177</v>
      </c>
      <c r="E14" s="537"/>
      <c r="F14" s="538"/>
    </row>
    <row r="15" spans="1:6" ht="16.5" hidden="1" thickBot="1" x14ac:dyDescent="0.3">
      <c r="A15" s="21"/>
      <c r="B15" s="533" t="s">
        <v>248</v>
      </c>
      <c r="C15" s="534"/>
      <c r="D15" s="535" t="s">
        <v>71</v>
      </c>
      <c r="E15" s="535"/>
      <c r="F15" s="536"/>
    </row>
    <row r="17" spans="1:5" ht="16.5" thickBot="1" x14ac:dyDescent="0.3"/>
    <row r="18" spans="1:5" ht="16.5" thickBot="1" x14ac:dyDescent="0.3">
      <c r="A18" s="32" t="s">
        <v>75</v>
      </c>
      <c r="B18" s="485" t="s">
        <v>90</v>
      </c>
      <c r="C18" s="486"/>
      <c r="D18" s="44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41"/>
    </row>
    <row r="19" spans="1:5" ht="16.5" thickBot="1" x14ac:dyDescent="0.3">
      <c r="A19" s="21"/>
      <c r="B19" s="13"/>
      <c r="C19" s="13"/>
      <c r="D19" s="5"/>
      <c r="E19" s="5"/>
    </row>
    <row r="20" spans="1:5" x14ac:dyDescent="0.25">
      <c r="A20" s="21"/>
      <c r="B20" s="421" t="s">
        <v>305</v>
      </c>
      <c r="C20" s="445" t="s">
        <v>61</v>
      </c>
      <c r="D20" s="520" t="s">
        <v>64</v>
      </c>
      <c r="E20" s="28" t="str">
        <f>IF(OR(D18="kritéria A,C,D,E",D18="kritéria A,C,D"),"RELEVANTNÍ","NERELEVANTNÍ")</f>
        <v>NERELEVANTNÍ</v>
      </c>
    </row>
    <row r="21" spans="1:5" x14ac:dyDescent="0.25">
      <c r="A21" s="21"/>
      <c r="B21" s="424"/>
      <c r="C21" s="446"/>
      <c r="D21" s="521"/>
      <c r="E21" s="33" t="str">
        <f>IF($D$8&gt;1,$D$8,"")</f>
        <v/>
      </c>
    </row>
    <row r="22" spans="1:5" x14ac:dyDescent="0.25">
      <c r="A22" s="21"/>
      <c r="B22" s="29" t="s">
        <v>15</v>
      </c>
      <c r="C22" s="30" t="s">
        <v>293</v>
      </c>
      <c r="D22" s="31" t="s">
        <v>5</v>
      </c>
      <c r="E22" s="50">
        <f>'2. Účetnictví'!F28</f>
        <v>0</v>
      </c>
    </row>
    <row r="23" spans="1:5" x14ac:dyDescent="0.25">
      <c r="A23" s="21"/>
      <c r="B23" s="29" t="s">
        <v>30</v>
      </c>
      <c r="C23" s="30" t="s">
        <v>293</v>
      </c>
      <c r="D23" s="31" t="s">
        <v>298</v>
      </c>
      <c r="E23" s="50">
        <f>'2. Účetnictví'!F29</f>
        <v>0</v>
      </c>
    </row>
    <row r="24" spans="1:5" x14ac:dyDescent="0.25">
      <c r="A24" s="21"/>
      <c r="B24" s="29" t="s">
        <v>72</v>
      </c>
      <c r="C24" s="30" t="s">
        <v>293</v>
      </c>
      <c r="D24" s="31" t="s">
        <v>299</v>
      </c>
      <c r="E24" s="50">
        <f>'2. Účetnictví'!F30</f>
        <v>0</v>
      </c>
    </row>
    <row r="25" spans="1:5" ht="16.5" thickBot="1" x14ac:dyDescent="0.3">
      <c r="A25" s="21"/>
      <c r="B25" s="522" t="s">
        <v>14</v>
      </c>
      <c r="C25" s="523"/>
      <c r="D25" s="524"/>
      <c r="E25" s="25" t="str">
        <f>IF(E22&lt;((E23+E24)/2),"Ano","Ne")</f>
        <v>Ne</v>
      </c>
    </row>
    <row r="26" spans="1:5" ht="16.5" thickBot="1" x14ac:dyDescent="0.3">
      <c r="A26" s="21"/>
      <c r="B26" s="13"/>
      <c r="C26" s="13"/>
      <c r="D26" s="21"/>
      <c r="E26" s="21"/>
    </row>
    <row r="27" spans="1:5" x14ac:dyDescent="0.25">
      <c r="A27" s="21"/>
      <c r="B27" s="540" t="s">
        <v>306</v>
      </c>
      <c r="C27" s="520" t="s">
        <v>61</v>
      </c>
      <c r="D27" s="520" t="s">
        <v>64</v>
      </c>
      <c r="E27" s="28" t="str">
        <f>IF(OR(D18="kritéria B,C,D,E",D18="kritéria B,C,D"),"RELEVANTNÍ","NERELEVANTNÍ")</f>
        <v>NERELEVANTNÍ</v>
      </c>
    </row>
    <row r="28" spans="1:5" x14ac:dyDescent="0.25">
      <c r="A28" s="21"/>
      <c r="B28" s="428"/>
      <c r="C28" s="521"/>
      <c r="D28" s="521"/>
      <c r="E28" s="33" t="str">
        <f>IF($D$8&gt;1,$D$8,"")</f>
        <v/>
      </c>
    </row>
    <row r="29" spans="1:5" x14ac:dyDescent="0.25">
      <c r="A29" s="21"/>
      <c r="B29" s="29" t="s">
        <v>15</v>
      </c>
      <c r="C29" s="30" t="s">
        <v>293</v>
      </c>
      <c r="D29" s="31" t="s">
        <v>5</v>
      </c>
      <c r="E29" s="50">
        <f>'2. Účetnictví'!F35</f>
        <v>0</v>
      </c>
    </row>
    <row r="30" spans="1:5" ht="47.45" customHeight="1" x14ac:dyDescent="0.25">
      <c r="A30" s="21"/>
      <c r="B30" s="29" t="s">
        <v>10</v>
      </c>
      <c r="C30" s="30" t="s">
        <v>293</v>
      </c>
      <c r="D30" s="31" t="s">
        <v>300</v>
      </c>
      <c r="E30" s="50">
        <f>'2. Účetnictví'!F36</f>
        <v>0</v>
      </c>
    </row>
    <row r="31" spans="1:5" ht="43.15" customHeight="1" x14ac:dyDescent="0.25">
      <c r="A31" s="21"/>
      <c r="B31" s="29" t="s">
        <v>12</v>
      </c>
      <c r="C31" s="30" t="s">
        <v>293</v>
      </c>
      <c r="D31" s="31" t="s">
        <v>301</v>
      </c>
      <c r="E31" s="50">
        <f>'2. Účetnictví'!F37</f>
        <v>0</v>
      </c>
    </row>
    <row r="32" spans="1:5" ht="16.5" thickBot="1" x14ac:dyDescent="0.3">
      <c r="A32" s="21"/>
      <c r="B32" s="450" t="s">
        <v>17</v>
      </c>
      <c r="C32" s="451"/>
      <c r="D32" s="451"/>
      <c r="E32" s="25" t="str">
        <f>IF(AND((E30+E31)&gt;0,E29&gt;0),"Ne",(IF((ABS(E30+E31))&gt;((E29-(E30+E31))/2),"Ano","Ne")))</f>
        <v>Ne</v>
      </c>
    </row>
    <row r="34" spans="2:7" ht="51" customHeight="1" x14ac:dyDescent="0.25">
      <c r="B34" s="27" t="s">
        <v>102</v>
      </c>
      <c r="C34" s="403" t="s">
        <v>61</v>
      </c>
      <c r="D34" s="403"/>
      <c r="E34" s="28" t="s">
        <v>46</v>
      </c>
      <c r="F34" s="13"/>
    </row>
    <row r="35" spans="2:7" ht="52.15" customHeight="1" x14ac:dyDescent="0.25">
      <c r="B35" s="44" t="s">
        <v>323</v>
      </c>
      <c r="C35" s="447" t="s">
        <v>63</v>
      </c>
      <c r="D35" s="447"/>
      <c r="E35" s="54" t="str">
        <f>'2. Účetnictví'!F41</f>
        <v>Vyberte variantu</v>
      </c>
      <c r="F35" s="545" t="s">
        <v>325</v>
      </c>
      <c r="G35" s="519"/>
    </row>
    <row r="36" spans="2:7" ht="61.9" customHeight="1" thickBot="1" x14ac:dyDescent="0.3">
      <c r="B36" s="46" t="s">
        <v>324</v>
      </c>
      <c r="C36" s="546" t="s">
        <v>69</v>
      </c>
      <c r="D36" s="546"/>
      <c r="E36" s="66" t="str">
        <f>'2. Účetnictví'!F42</f>
        <v>Vyberte variantu</v>
      </c>
      <c r="F36" s="545"/>
      <c r="G36" s="519"/>
    </row>
    <row r="37" spans="2:7" ht="16.5" thickBot="1" x14ac:dyDescent="0.3">
      <c r="B37" s="547" t="s">
        <v>19</v>
      </c>
      <c r="C37" s="548"/>
      <c r="D37" s="548"/>
      <c r="E37" s="67" t="str">
        <f>IF(OR(E35="Ano",E36="Ano"),"Ano","Ne")</f>
        <v>Ne</v>
      </c>
      <c r="F37" s="43" t="s">
        <v>366</v>
      </c>
    </row>
    <row r="38" spans="2:7" ht="16.5" thickBot="1" x14ac:dyDescent="0.3">
      <c r="B38" s="12"/>
      <c r="C38" s="12"/>
      <c r="D38" s="9"/>
      <c r="E38" s="5"/>
      <c r="F38" s="13"/>
    </row>
    <row r="39" spans="2:7" ht="54" customHeight="1" x14ac:dyDescent="0.25">
      <c r="B39" s="27" t="s">
        <v>103</v>
      </c>
      <c r="C39" s="403" t="s">
        <v>61</v>
      </c>
      <c r="D39" s="403"/>
      <c r="E39" s="28" t="s">
        <v>46</v>
      </c>
      <c r="F39" s="13"/>
    </row>
    <row r="40" spans="2:7" ht="52.9" customHeight="1" x14ac:dyDescent="0.25">
      <c r="B40" s="44" t="s">
        <v>517</v>
      </c>
      <c r="C40" s="447" t="s">
        <v>69</v>
      </c>
      <c r="D40" s="447"/>
      <c r="E40" s="54" t="str">
        <f>'2. Účetnictví'!F46</f>
        <v>Vyberte variantu</v>
      </c>
      <c r="F40" s="13"/>
    </row>
    <row r="41" spans="2:7" ht="58.15" customHeight="1" x14ac:dyDescent="0.25">
      <c r="B41" s="44" t="s">
        <v>176</v>
      </c>
      <c r="C41" s="447" t="s">
        <v>69</v>
      </c>
      <c r="D41" s="447"/>
      <c r="E41" s="54" t="str">
        <f>'2. Účetnictví'!F47</f>
        <v>Vyberte variantu</v>
      </c>
      <c r="F41" s="13"/>
    </row>
    <row r="42" spans="2:7" ht="16.5" thickBot="1" x14ac:dyDescent="0.3">
      <c r="B42" s="448" t="s">
        <v>20</v>
      </c>
      <c r="C42" s="449"/>
      <c r="D42" s="449"/>
      <c r="E42" s="25" t="str">
        <f>IF(OR(E40="Ano",E41="Ano"),"Ano","Ne")</f>
        <v>Ne</v>
      </c>
      <c r="F42" s="43" t="s">
        <v>366</v>
      </c>
    </row>
    <row r="43" spans="2:7" ht="16.5" thickBot="1" x14ac:dyDescent="0.3">
      <c r="B43" s="12"/>
      <c r="C43" s="12"/>
      <c r="D43" s="9"/>
      <c r="E43" s="5"/>
      <c r="F43" s="13"/>
    </row>
    <row r="44" spans="2:7" ht="16.5" thickBot="1" x14ac:dyDescent="0.3">
      <c r="B44" s="454" t="s">
        <v>104</v>
      </c>
      <c r="C44" s="455"/>
      <c r="D44" s="456"/>
      <c r="E44" s="26" t="str">
        <f>IF(OR(D18="kritéria A,C,D,E",D18="kritéria B,C,D,E",D18="kritéria C,D,E"),"RELEVANTNÍ","NERELEVANTNÍ")</f>
        <v>NERELEVANTNÍ</v>
      </c>
      <c r="F44" s="17"/>
    </row>
    <row r="45" spans="2:7" ht="16.5" thickBot="1" x14ac:dyDescent="0.3">
      <c r="B45" s="12"/>
      <c r="C45" s="12"/>
      <c r="D45" s="9"/>
      <c r="E45" s="21"/>
      <c r="F45" s="21"/>
    </row>
    <row r="46" spans="2:7" ht="48" customHeight="1" x14ac:dyDescent="0.25">
      <c r="B46" s="22" t="s">
        <v>105</v>
      </c>
      <c r="C46" s="45" t="s">
        <v>61</v>
      </c>
      <c r="D46" s="45" t="s">
        <v>98</v>
      </c>
      <c r="E46" s="23" t="str">
        <f>IF($D$8&gt;1,$D$8,"")</f>
        <v/>
      </c>
      <c r="F46" s="24" t="e">
        <f>IF($D$8&gt;1,$D$8-1,"")</f>
        <v>#VALUE!</v>
      </c>
    </row>
    <row r="47" spans="2:7" x14ac:dyDescent="0.25">
      <c r="B47" s="18" t="s">
        <v>15</v>
      </c>
      <c r="C47" s="19" t="s">
        <v>293</v>
      </c>
      <c r="D47" s="20" t="s">
        <v>5</v>
      </c>
      <c r="E47" s="49">
        <f>'2. Účetnictví'!F54</f>
        <v>0</v>
      </c>
      <c r="F47" s="50">
        <f>'2. Účetnictví'!G54</f>
        <v>0</v>
      </c>
    </row>
    <row r="48" spans="2:7" x14ac:dyDescent="0.25">
      <c r="B48" s="18" t="s">
        <v>99</v>
      </c>
      <c r="C48" s="19" t="s">
        <v>293</v>
      </c>
      <c r="D48" s="20" t="s">
        <v>302</v>
      </c>
      <c r="E48" s="49">
        <f>'2. Účetnictví'!F55</f>
        <v>0</v>
      </c>
      <c r="F48" s="50">
        <f>'2. Účetnictví'!G55</f>
        <v>0</v>
      </c>
    </row>
    <row r="49" spans="2:6" x14ac:dyDescent="0.25">
      <c r="B49" s="407" t="s">
        <v>88</v>
      </c>
      <c r="C49" s="408"/>
      <c r="D49" s="408"/>
      <c r="E49" s="6" t="str">
        <f>IF((E47)=0,"NR",(E48/E47))</f>
        <v>NR</v>
      </c>
      <c r="F49" s="7" t="str">
        <f>IF((F47)=0,"NR",(F48/F47))</f>
        <v>NR</v>
      </c>
    </row>
    <row r="50" spans="2:6" ht="16.5" thickBot="1" x14ac:dyDescent="0.3">
      <c r="B50" s="448" t="s">
        <v>22</v>
      </c>
      <c r="C50" s="449"/>
      <c r="D50" s="449"/>
      <c r="E50" s="10" t="str">
        <f>IF((E47)="0","Ano",IF((E49)&lt;0,"Chyba",IF(E49&gt;7.5,"Ano","Ne")))</f>
        <v>Ano</v>
      </c>
      <c r="F50" s="11" t="str">
        <f>IF((F47)="0","Ano",IF((F49)&lt;0,"Chyba",IF(F49&gt;7.5,"Ano","Ne")))</f>
        <v>Ano</v>
      </c>
    </row>
    <row r="51" spans="2:6" ht="16.5" thickBot="1" x14ac:dyDescent="0.3">
      <c r="B51" s="12"/>
      <c r="C51" s="12"/>
      <c r="D51" s="9"/>
      <c r="E51" s="21"/>
      <c r="F51" s="21"/>
    </row>
    <row r="52" spans="2:6" ht="50.45" customHeight="1" x14ac:dyDescent="0.25">
      <c r="B52" s="22" t="s">
        <v>106</v>
      </c>
      <c r="C52" s="45" t="s">
        <v>61</v>
      </c>
      <c r="D52" s="45" t="s">
        <v>98</v>
      </c>
      <c r="E52" s="23" t="str">
        <f>IF($D$8&gt;1,$D$8,"")</f>
        <v/>
      </c>
      <c r="F52" s="24" t="e">
        <f>IF($D$8&gt;1,$D$8-1,"")</f>
        <v>#VALUE!</v>
      </c>
    </row>
    <row r="53" spans="2:6" x14ac:dyDescent="0.25">
      <c r="B53" s="18" t="s">
        <v>23</v>
      </c>
      <c r="C53" s="19" t="s">
        <v>50</v>
      </c>
      <c r="D53" s="20" t="s">
        <v>295</v>
      </c>
      <c r="E53" s="49">
        <f>'2. Účetnictví'!F61</f>
        <v>0</v>
      </c>
      <c r="F53" s="50">
        <f>'2. Účetnictví'!G61</f>
        <v>0</v>
      </c>
    </row>
    <row r="54" spans="2:6" x14ac:dyDescent="0.25">
      <c r="B54" s="18" t="s">
        <v>25</v>
      </c>
      <c r="C54" s="19" t="s">
        <v>50</v>
      </c>
      <c r="D54" s="20" t="s">
        <v>303</v>
      </c>
      <c r="E54" s="49">
        <f>'2. Účetnictví'!F62</f>
        <v>0</v>
      </c>
      <c r="F54" s="50">
        <f>'2. Účetnictví'!G62</f>
        <v>0</v>
      </c>
    </row>
    <row r="55" spans="2:6" ht="28.5" x14ac:dyDescent="0.25">
      <c r="B55" s="18" t="s">
        <v>27</v>
      </c>
      <c r="C55" s="19" t="s">
        <v>50</v>
      </c>
      <c r="D55" s="19" t="s">
        <v>304</v>
      </c>
      <c r="E55" s="49">
        <f>'2. Účetnictví'!F63</f>
        <v>0</v>
      </c>
      <c r="F55" s="50">
        <f>'2. Účetnictví'!G63</f>
        <v>0</v>
      </c>
    </row>
    <row r="56" spans="2:6" x14ac:dyDescent="0.25">
      <c r="B56" s="407" t="s">
        <v>89</v>
      </c>
      <c r="C56" s="408"/>
      <c r="D56" s="408"/>
      <c r="E56" s="6" t="str">
        <f>IF(E54=0,"NR",(E53+E54+E55)/E54)</f>
        <v>NR</v>
      </c>
      <c r="F56" s="7" t="str">
        <f>IF(F54=0,"NR",(F53+F54+F55)/F54)</f>
        <v>NR</v>
      </c>
    </row>
    <row r="57" spans="2:6" ht="16.5" thickBot="1" x14ac:dyDescent="0.3">
      <c r="B57" s="448" t="s">
        <v>107</v>
      </c>
      <c r="C57" s="449"/>
      <c r="D57" s="449"/>
      <c r="E57" s="10" t="str">
        <f>IF((E56)="NR","NR",IF((E56)&lt;1,"Ano","Ne"))</f>
        <v>NR</v>
      </c>
      <c r="F57" s="11" t="str">
        <f>IF((F56)="NR","NR",IF((F56)&lt;1,"Ano","Ne"))</f>
        <v>NR</v>
      </c>
    </row>
    <row r="58" spans="2:6" ht="16.5" thickBot="1" x14ac:dyDescent="0.3">
      <c r="B58" s="12"/>
      <c r="C58" s="12"/>
      <c r="D58" s="9"/>
      <c r="E58" s="5"/>
      <c r="F58" s="13"/>
    </row>
    <row r="59" spans="2:6" ht="16.5" thickBot="1" x14ac:dyDescent="0.3">
      <c r="B59" s="468" t="s">
        <v>29</v>
      </c>
      <c r="C59" s="469"/>
      <c r="D59" s="470"/>
      <c r="E59" s="14" t="str">
        <f>IF(AND(E50="ANO",F50="Ano",E57="Ano",F57="Ano"),"Ano","Ne")</f>
        <v>Ne</v>
      </c>
      <c r="F59" s="43" t="s">
        <v>366</v>
      </c>
    </row>
    <row r="60" spans="2:6" ht="16.5" thickBot="1" x14ac:dyDescent="0.3">
      <c r="B60" s="12"/>
      <c r="C60" s="12"/>
      <c r="D60" s="9"/>
      <c r="E60" s="5"/>
      <c r="F60" s="13"/>
    </row>
    <row r="61" spans="2:6" ht="16.5" thickBot="1" x14ac:dyDescent="0.3">
      <c r="B61" s="465" t="s">
        <v>108</v>
      </c>
      <c r="C61" s="466"/>
      <c r="D61" s="467"/>
      <c r="E61" s="16" t="str">
        <f>IF(OR(E25="ANO",E32="Ano",E37="Ano",E42="Ano",E59="Ano"),"Ano","Ne")</f>
        <v>Ne</v>
      </c>
      <c r="F61" s="55"/>
    </row>
  </sheetData>
  <sheetProtection algorithmName="SHA-512" hashValue="S7eVXUXH+tYvfObTSepwlqBlLTwGkIFLO5uAJTjE1xArQaf4bZIRb0BD7SZsdQt2chBRMgr5gtPAuYyxFOyf4A==" saltValue="u+Z9pyrR5xSmXBUKfn+amg==" spinCount="100000" sheet="1" objects="1" scenarios="1"/>
  <mergeCells count="48">
    <mergeCell ref="F35:G36"/>
    <mergeCell ref="B61:D61"/>
    <mergeCell ref="B44:D44"/>
    <mergeCell ref="B49:D49"/>
    <mergeCell ref="B50:D50"/>
    <mergeCell ref="B56:D56"/>
    <mergeCell ref="B57:D57"/>
    <mergeCell ref="B59:D59"/>
    <mergeCell ref="B42:D42"/>
    <mergeCell ref="C35:D35"/>
    <mergeCell ref="C36:D36"/>
    <mergeCell ref="B37:D37"/>
    <mergeCell ref="C39:D39"/>
    <mergeCell ref="C40:D40"/>
    <mergeCell ref="C41:D41"/>
    <mergeCell ref="B27:B28"/>
    <mergeCell ref="C27:C28"/>
    <mergeCell ref="D27:D28"/>
    <mergeCell ref="B32:D32"/>
    <mergeCell ref="C34:D34"/>
    <mergeCell ref="B25:D25"/>
    <mergeCell ref="B13:C13"/>
    <mergeCell ref="D13:F13"/>
    <mergeCell ref="B14:C14"/>
    <mergeCell ref="D14:F14"/>
    <mergeCell ref="B15:C15"/>
    <mergeCell ref="D15:F15"/>
    <mergeCell ref="B18:C18"/>
    <mergeCell ref="D18:E18"/>
    <mergeCell ref="B20:B21"/>
    <mergeCell ref="C20:C21"/>
    <mergeCell ref="D20:D21"/>
    <mergeCell ref="B10:C10"/>
    <mergeCell ref="D10:F10"/>
    <mergeCell ref="B11:C11"/>
    <mergeCell ref="D11:F11"/>
    <mergeCell ref="B12:C12"/>
    <mergeCell ref="D12:F12"/>
    <mergeCell ref="B7:C7"/>
    <mergeCell ref="D7:F7"/>
    <mergeCell ref="B8:C8"/>
    <mergeCell ref="D8:F8"/>
    <mergeCell ref="B4:C4"/>
    <mergeCell ref="D4:F4"/>
    <mergeCell ref="B5:C5"/>
    <mergeCell ref="D5:F5"/>
    <mergeCell ref="B6:C6"/>
    <mergeCell ref="D6:F6"/>
  </mergeCells>
  <conditionalFormatting sqref="A1:A19">
    <cfRule type="beginsWith" dxfId="180" priority="29" operator="beginsWith" text="RE">
      <formula>LEFT(A1,LEN("RE"))="RE"</formula>
    </cfRule>
    <cfRule type="containsText" dxfId="179" priority="30" operator="containsText" text="&quot;RELEVANTNÍ&quot;">
      <formula>NOT(ISERROR(SEARCH("""RELEVANTNÍ""",A1)))</formula>
    </cfRule>
  </conditionalFormatting>
  <conditionalFormatting sqref="A23:A33 A35:A38">
    <cfRule type="beginsWith" dxfId="178" priority="40" operator="beginsWith" text="RE">
      <formula>LEFT(A23,LEN("RE"))="RE"</formula>
    </cfRule>
    <cfRule type="containsText" dxfId="177" priority="41" operator="containsText" text="&quot;RELEVANTNÍ&quot;">
      <formula>NOT(ISERROR(SEARCH("""RELEVANTNÍ""",A23)))</formula>
    </cfRule>
  </conditionalFormatting>
  <conditionalFormatting sqref="A40:A61">
    <cfRule type="beginsWith" dxfId="176" priority="18" operator="beginsWith" text="RE">
      <formula>LEFT(A40,LEN("RE"))="RE"</formula>
    </cfRule>
    <cfRule type="containsText" dxfId="175" priority="19" operator="containsText" text="&quot;RELEVANTNÍ&quot;">
      <formula>NOT(ISERROR(SEARCH("""RELEVANTNÍ""",A40)))</formula>
    </cfRule>
  </conditionalFormatting>
  <conditionalFormatting sqref="E21">
    <cfRule type="beginsWith" dxfId="174" priority="10" operator="beginsWith" text="RE">
      <formula>LEFT(E21,LEN("RE"))="RE"</formula>
    </cfRule>
  </conditionalFormatting>
  <conditionalFormatting sqref="E22:E24">
    <cfRule type="expression" dxfId="173" priority="28">
      <formula>$E$20="NERELEVANTNÍ"</formula>
    </cfRule>
  </conditionalFormatting>
  <conditionalFormatting sqref="E25">
    <cfRule type="containsText" dxfId="172" priority="42" operator="containsText" text="Ne">
      <formula>NOT(ISERROR(SEARCH("Ne",E25)))</formula>
    </cfRule>
    <cfRule type="containsText" dxfId="171" priority="43" operator="containsText" text="Ano">
      <formula>NOT(ISERROR(SEARCH("Ano",E25)))</formula>
    </cfRule>
  </conditionalFormatting>
  <conditionalFormatting sqref="E28">
    <cfRule type="beginsWith" dxfId="170" priority="9" operator="beginsWith" text="RE">
      <formula>LEFT(E28,LEN("RE"))="RE"</formula>
    </cfRule>
  </conditionalFormatting>
  <conditionalFormatting sqref="E29:E31">
    <cfRule type="expression" dxfId="169" priority="26">
      <formula>$E$27="NERELEVANTNÍ"</formula>
    </cfRule>
  </conditionalFormatting>
  <conditionalFormatting sqref="E30:E31">
    <cfRule type="beginsWith" dxfId="168" priority="27" operator="beginsWith" text="RE">
      <formula>LEFT(E30,LEN("RE"))="RE"</formula>
    </cfRule>
  </conditionalFormatting>
  <conditionalFormatting sqref="E32 E37 E42 E59 E61">
    <cfRule type="containsText" dxfId="167" priority="45" operator="containsText" text="Ano">
      <formula>NOT(ISERROR(SEARCH("Ano",E32)))</formula>
    </cfRule>
  </conditionalFormatting>
  <conditionalFormatting sqref="E32 E42 E37 E59 E61">
    <cfRule type="containsText" dxfId="166" priority="44" operator="containsText" text="Ne">
      <formula>NOT(ISERROR(SEARCH("Ne",E32)))</formula>
    </cfRule>
  </conditionalFormatting>
  <conditionalFormatting sqref="E14:F15">
    <cfRule type="beginsWith" dxfId="165" priority="15" operator="beginsWith" text="RE">
      <formula>LEFT(E14,LEN("RE"))="RE"</formula>
    </cfRule>
  </conditionalFormatting>
  <conditionalFormatting sqref="E23:F27 E1:F9 E17:F17 E18 E19:F20 F21:F22 F28:F31 E32:F34 E42">
    <cfRule type="beginsWith" dxfId="164" priority="39" operator="beginsWith" text="RE">
      <formula>LEFT(E1,LEN("RE"))="RE"</formula>
    </cfRule>
  </conditionalFormatting>
  <conditionalFormatting sqref="E37:F39">
    <cfRule type="beginsWith" dxfId="163" priority="4" operator="beginsWith" text="RE">
      <formula>LEFT(E37,LEN("RE"))="RE"</formula>
    </cfRule>
  </conditionalFormatting>
  <conditionalFormatting sqref="E43:F46">
    <cfRule type="beginsWith" dxfId="162" priority="8" operator="beginsWith" text="RE">
      <formula>LEFT(E43,LEN("RE"))="RE"</formula>
    </cfRule>
  </conditionalFormatting>
  <conditionalFormatting sqref="E47:F48">
    <cfRule type="expression" dxfId="161" priority="22">
      <formula>$E$44="NERELEVANTNÍ"</formula>
    </cfRule>
  </conditionalFormatting>
  <conditionalFormatting sqref="E48:F48">
    <cfRule type="beginsWith" dxfId="160" priority="23" operator="beginsWith" text="RE">
      <formula>LEFT(E48,LEN("RE"))="RE"</formula>
    </cfRule>
  </conditionalFormatting>
  <conditionalFormatting sqref="E49:F52">
    <cfRule type="beginsWith" dxfId="159" priority="7" operator="beginsWith" text="RE">
      <formula>LEFT(E49,LEN("RE"))="RE"</formula>
    </cfRule>
  </conditionalFormatting>
  <conditionalFormatting sqref="E53:F55">
    <cfRule type="expression" dxfId="158" priority="20">
      <formula>$E$44="NERELEVANTNÍ"</formula>
    </cfRule>
  </conditionalFormatting>
  <conditionalFormatting sqref="E54:F54">
    <cfRule type="beginsWith" dxfId="157" priority="21" operator="beginsWith" text="RE">
      <formula>LEFT(E54,LEN("RE"))="RE"</formula>
    </cfRule>
  </conditionalFormatting>
  <conditionalFormatting sqref="E56:F61">
    <cfRule type="beginsWith" dxfId="156" priority="1" operator="beginsWith" text="RE">
      <formula>LEFT(E56,LEN("RE"))="RE"</formula>
    </cfRule>
  </conditionalFormatting>
  <conditionalFormatting sqref="F35">
    <cfRule type="beginsWith" dxfId="155" priority="5" operator="beginsWith" text="RE">
      <formula>LEFT(F35,LEN("RE"))="RE"</formula>
    </cfRule>
  </conditionalFormatting>
  <conditionalFormatting sqref="F40:F42">
    <cfRule type="beginsWith" dxfId="154" priority="3" operator="beginsWith" text="RE">
      <formula>LEFT(F40,LEN("RE"))="RE"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žadatelů'!$D$10:$D$26</xm:f>
          </x14:formula1>
          <xm:sqref>D14:F14</xm:sqref>
        </x14:dataValidation>
        <x14:dataValidation type="list" allowBlank="1" showInputMessage="1" showErrorMessage="1" xr:uid="{00000000-0002-0000-0900-000001000000}">
          <x14:formula1>
            <xm:f>'typy žadatelů'!$B$78:$B$80</xm:f>
          </x14:formula1>
          <xm:sqref>D15:F15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2:G61"/>
  <sheetViews>
    <sheetView topLeftCell="A22" workbookViewId="0">
      <selection activeCell="B41" sqref="B41"/>
    </sheetView>
  </sheetViews>
  <sheetFormatPr defaultRowHeight="15.75" x14ac:dyDescent="0.25"/>
  <cols>
    <col min="2" max="2" width="64.25" customWidth="1"/>
    <col min="3" max="3" width="11.125" customWidth="1"/>
    <col min="4" max="4" width="12.625" customWidth="1"/>
    <col min="5" max="5" width="17" customWidth="1"/>
    <col min="6" max="6" width="30.75" customWidth="1"/>
  </cols>
  <sheetData>
    <row r="2" spans="1:6" ht="18" x14ac:dyDescent="0.25">
      <c r="A2" s="21"/>
      <c r="B2" s="35" t="s">
        <v>272</v>
      </c>
      <c r="C2" s="47"/>
      <c r="D2" s="5"/>
      <c r="E2" s="5"/>
      <c r="F2" s="13"/>
    </row>
    <row r="3" spans="1:6" ht="16.5" thickBot="1" x14ac:dyDescent="0.3">
      <c r="A3" s="21"/>
      <c r="B3" s="13"/>
      <c r="C3" s="13"/>
      <c r="D3" s="5"/>
      <c r="E3" s="5"/>
      <c r="F3" s="13"/>
    </row>
    <row r="4" spans="1:6" x14ac:dyDescent="0.25">
      <c r="A4" s="32" t="s">
        <v>74</v>
      </c>
      <c r="B4" s="421" t="s">
        <v>80</v>
      </c>
      <c r="C4" s="422"/>
      <c r="D4" s="503">
        <f>'2. Účetnictví'!E4</f>
        <v>0</v>
      </c>
      <c r="E4" s="503"/>
      <c r="F4" s="504"/>
    </row>
    <row r="5" spans="1:6" hidden="1" x14ac:dyDescent="0.25">
      <c r="A5" s="21"/>
      <c r="B5" s="424" t="s">
        <v>0</v>
      </c>
      <c r="C5" s="413"/>
      <c r="D5" s="505"/>
      <c r="E5" s="505"/>
      <c r="F5" s="506"/>
    </row>
    <row r="6" spans="1:6" x14ac:dyDescent="0.25">
      <c r="A6" s="21"/>
      <c r="B6" s="424" t="s">
        <v>1</v>
      </c>
      <c r="C6" s="413"/>
      <c r="D6" s="505">
        <f>'2. Účetnictví'!E6</f>
        <v>0</v>
      </c>
      <c r="E6" s="505"/>
      <c r="F6" s="506"/>
    </row>
    <row r="7" spans="1:6" x14ac:dyDescent="0.25">
      <c r="A7" s="21"/>
      <c r="B7" s="424" t="s">
        <v>246</v>
      </c>
      <c r="C7" s="413"/>
      <c r="D7" s="508">
        <f>'2. Účetnictví'!E8</f>
        <v>42222</v>
      </c>
      <c r="E7" s="508"/>
      <c r="F7" s="509"/>
    </row>
    <row r="8" spans="1:6" ht="16.5" thickBot="1" x14ac:dyDescent="0.3">
      <c r="A8" s="21"/>
      <c r="B8" s="437" t="s">
        <v>273</v>
      </c>
      <c r="C8" s="438"/>
      <c r="D8" s="435" t="str">
        <f>'2. Účetnictví'!E11</f>
        <v/>
      </c>
      <c r="E8" s="435"/>
      <c r="F8" s="436"/>
    </row>
    <row r="9" spans="1:6" ht="16.5" thickBot="1" x14ac:dyDescent="0.3">
      <c r="A9" s="21"/>
      <c r="B9" s="13"/>
      <c r="C9" s="17"/>
      <c r="D9" s="5"/>
      <c r="E9" s="5"/>
      <c r="F9" s="13"/>
    </row>
    <row r="10" spans="1:6" ht="30" customHeight="1" x14ac:dyDescent="0.25">
      <c r="A10" s="21"/>
      <c r="B10" s="421" t="s">
        <v>262</v>
      </c>
      <c r="C10" s="539"/>
      <c r="D10" s="512" t="str">
        <f>'2. Účetnictví'!E16</f>
        <v>Vyberte variantu</v>
      </c>
      <c r="E10" s="512"/>
      <c r="F10" s="513"/>
    </row>
    <row r="11" spans="1:6" ht="27.6" customHeight="1" x14ac:dyDescent="0.25">
      <c r="A11" s="21"/>
      <c r="B11" s="459" t="s">
        <v>256</v>
      </c>
      <c r="C11" s="541"/>
      <c r="D11" s="439" t="str">
        <f>'2. Účetnictví'!E17</f>
        <v>Vyberte variantu</v>
      </c>
      <c r="E11" s="439"/>
      <c r="F11" s="514"/>
    </row>
    <row r="12" spans="1:6" ht="56.45" customHeight="1" x14ac:dyDescent="0.25">
      <c r="A12" s="21"/>
      <c r="B12" s="424" t="s">
        <v>258</v>
      </c>
      <c r="C12" s="532"/>
      <c r="D12" s="439" t="str">
        <f>'2. Účetnictví'!E18</f>
        <v>Vyberte variantu</v>
      </c>
      <c r="E12" s="439"/>
      <c r="F12" s="514"/>
    </row>
    <row r="13" spans="1:6" ht="70.900000000000006" customHeight="1" thickBot="1" x14ac:dyDescent="0.3">
      <c r="A13" s="21"/>
      <c r="B13" s="461" t="s">
        <v>255</v>
      </c>
      <c r="C13" s="542"/>
      <c r="D13" s="515" t="str">
        <f>Výpočty!D46</f>
        <v/>
      </c>
      <c r="E13" s="515"/>
      <c r="F13" s="516"/>
    </row>
    <row r="14" spans="1:6" hidden="1" x14ac:dyDescent="0.25">
      <c r="A14" s="21"/>
      <c r="B14" s="428" t="s">
        <v>79</v>
      </c>
      <c r="C14" s="429"/>
      <c r="D14" s="537" t="s">
        <v>177</v>
      </c>
      <c r="E14" s="537"/>
      <c r="F14" s="538"/>
    </row>
    <row r="15" spans="1:6" ht="16.5" hidden="1" thickBot="1" x14ac:dyDescent="0.3">
      <c r="A15" s="21"/>
      <c r="B15" s="533" t="s">
        <v>248</v>
      </c>
      <c r="C15" s="534"/>
      <c r="D15" s="535" t="s">
        <v>71</v>
      </c>
      <c r="E15" s="535"/>
      <c r="F15" s="536"/>
    </row>
    <row r="17" spans="1:5" ht="16.5" thickBot="1" x14ac:dyDescent="0.3"/>
    <row r="18" spans="1:5" ht="16.5" thickBot="1" x14ac:dyDescent="0.3">
      <c r="A18" s="32" t="s">
        <v>75</v>
      </c>
      <c r="B18" s="485" t="s">
        <v>90</v>
      </c>
      <c r="C18" s="486"/>
      <c r="D18" s="44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41"/>
    </row>
    <row r="19" spans="1:5" ht="16.5" thickBot="1" x14ac:dyDescent="0.3">
      <c r="A19" s="21"/>
      <c r="B19" s="13"/>
      <c r="C19" s="13"/>
      <c r="D19" s="5"/>
      <c r="E19" s="5"/>
    </row>
    <row r="20" spans="1:5" x14ac:dyDescent="0.25">
      <c r="A20" s="21"/>
      <c r="B20" s="421" t="s">
        <v>313</v>
      </c>
      <c r="C20" s="445" t="s">
        <v>61</v>
      </c>
      <c r="D20" s="520" t="s">
        <v>64</v>
      </c>
      <c r="E20" s="28" t="str">
        <f>IF(OR(D18="kritéria A,C,D,E",D18="kritéria A,C,D"),"RELEVANTNÍ","NERELEVANTNÍ")</f>
        <v>NERELEVANTNÍ</v>
      </c>
    </row>
    <row r="21" spans="1:5" x14ac:dyDescent="0.25">
      <c r="A21" s="21"/>
      <c r="B21" s="424"/>
      <c r="C21" s="446"/>
      <c r="D21" s="521"/>
      <c r="E21" s="33" t="str">
        <f>IF($D$8&gt;1,$D$8,"")</f>
        <v/>
      </c>
    </row>
    <row r="22" spans="1:5" x14ac:dyDescent="0.25">
      <c r="A22" s="21"/>
      <c r="B22" s="29" t="s">
        <v>15</v>
      </c>
      <c r="C22" s="30" t="s">
        <v>293</v>
      </c>
      <c r="D22" s="31" t="s">
        <v>5</v>
      </c>
      <c r="E22" s="50">
        <f>'2. Účetnictví'!F28</f>
        <v>0</v>
      </c>
    </row>
    <row r="23" spans="1:5" x14ac:dyDescent="0.25">
      <c r="A23" s="21"/>
      <c r="B23" s="29" t="s">
        <v>30</v>
      </c>
      <c r="C23" s="30" t="s">
        <v>293</v>
      </c>
      <c r="D23" s="31" t="s">
        <v>298</v>
      </c>
      <c r="E23" s="50">
        <f>'2. Účetnictví'!F29</f>
        <v>0</v>
      </c>
    </row>
    <row r="24" spans="1:5" x14ac:dyDescent="0.25">
      <c r="A24" s="21"/>
      <c r="B24" s="29" t="s">
        <v>72</v>
      </c>
      <c r="C24" s="30" t="s">
        <v>229</v>
      </c>
      <c r="D24" s="31" t="s">
        <v>229</v>
      </c>
      <c r="E24" s="50">
        <f>'2. Účetnictví'!F30</f>
        <v>0</v>
      </c>
    </row>
    <row r="25" spans="1:5" ht="16.5" thickBot="1" x14ac:dyDescent="0.3">
      <c r="A25" s="21"/>
      <c r="B25" s="522" t="s">
        <v>14</v>
      </c>
      <c r="C25" s="523"/>
      <c r="D25" s="524"/>
      <c r="E25" s="25" t="str">
        <f>IF(E22&lt;((E23+E24)/2),"Ano","Ne")</f>
        <v>Ne</v>
      </c>
    </row>
    <row r="26" spans="1:5" ht="16.5" thickBot="1" x14ac:dyDescent="0.3">
      <c r="A26" s="21"/>
      <c r="B26" s="13"/>
      <c r="C26" s="13"/>
      <c r="D26" s="21"/>
      <c r="E26" s="21"/>
    </row>
    <row r="27" spans="1:5" x14ac:dyDescent="0.25">
      <c r="A27" s="21"/>
      <c r="B27" s="540" t="s">
        <v>314</v>
      </c>
      <c r="C27" s="520" t="s">
        <v>61</v>
      </c>
      <c r="D27" s="520" t="s">
        <v>64</v>
      </c>
      <c r="E27" s="28" t="str">
        <f>IF(OR(D18="kritéria B,C,D,E",D18="kritéria B,C,D"),"RELEVANTNÍ","NERELEVANTNÍ")</f>
        <v>NERELEVANTNÍ</v>
      </c>
    </row>
    <row r="28" spans="1:5" x14ac:dyDescent="0.25">
      <c r="A28" s="21"/>
      <c r="B28" s="428"/>
      <c r="C28" s="521"/>
      <c r="D28" s="521"/>
      <c r="E28" s="33" t="str">
        <f>IF($D$8&gt;1,$D$8,"")</f>
        <v/>
      </c>
    </row>
    <row r="29" spans="1:5" x14ac:dyDescent="0.25">
      <c r="A29" s="21"/>
      <c r="B29" s="29" t="s">
        <v>15</v>
      </c>
      <c r="C29" s="30" t="s">
        <v>293</v>
      </c>
      <c r="D29" s="31" t="s">
        <v>5</v>
      </c>
      <c r="E29" s="50">
        <f>'2. Účetnictví'!F35</f>
        <v>0</v>
      </c>
    </row>
    <row r="30" spans="1:5" x14ac:dyDescent="0.25">
      <c r="A30" s="21"/>
      <c r="B30" s="29" t="s">
        <v>10</v>
      </c>
      <c r="C30" s="30" t="s">
        <v>293</v>
      </c>
      <c r="D30" s="31" t="s">
        <v>307</v>
      </c>
      <c r="E30" s="50">
        <f>'2. Účetnictví'!F36</f>
        <v>0</v>
      </c>
    </row>
    <row r="31" spans="1:5" x14ac:dyDescent="0.25">
      <c r="A31" s="21"/>
      <c r="B31" s="29" t="s">
        <v>12</v>
      </c>
      <c r="C31" s="30" t="s">
        <v>293</v>
      </c>
      <c r="D31" s="31" t="s">
        <v>301</v>
      </c>
      <c r="E31" s="50">
        <f>'2. Účetnictví'!F37</f>
        <v>0</v>
      </c>
    </row>
    <row r="32" spans="1:5" ht="16.5" thickBot="1" x14ac:dyDescent="0.3">
      <c r="A32" s="21"/>
      <c r="B32" s="450" t="s">
        <v>17</v>
      </c>
      <c r="C32" s="451"/>
      <c r="D32" s="451"/>
      <c r="E32" s="25" t="str">
        <f>IF(AND((E30+E31)&gt;0,E29&gt;0),"Ne",(IF((ABS(E30+E31))&gt;((E29-(E30+E31))/2),"Ano","Ne")))</f>
        <v>Ne</v>
      </c>
    </row>
    <row r="34" spans="2:7" ht="35.450000000000003" customHeight="1" x14ac:dyDescent="0.25">
      <c r="B34" s="27" t="s">
        <v>102</v>
      </c>
      <c r="C34" s="403" t="s">
        <v>61</v>
      </c>
      <c r="D34" s="403"/>
      <c r="E34" s="28" t="s">
        <v>46</v>
      </c>
      <c r="F34" s="13"/>
    </row>
    <row r="35" spans="2:7" ht="37.15" customHeight="1" x14ac:dyDescent="0.25">
      <c r="B35" s="44" t="s">
        <v>323</v>
      </c>
      <c r="C35" s="447" t="s">
        <v>63</v>
      </c>
      <c r="D35" s="447"/>
      <c r="E35" s="54" t="str">
        <f>'2. Účetnictví'!F41</f>
        <v>Vyberte variantu</v>
      </c>
      <c r="F35" s="519" t="s">
        <v>325</v>
      </c>
      <c r="G35" s="519"/>
    </row>
    <row r="36" spans="2:7" ht="40.9" customHeight="1" x14ac:dyDescent="0.25">
      <c r="B36" s="44" t="s">
        <v>324</v>
      </c>
      <c r="C36" s="447" t="s">
        <v>69</v>
      </c>
      <c r="D36" s="447"/>
      <c r="E36" s="54" t="str">
        <f>'2. Účetnictví'!F42</f>
        <v>Vyberte variantu</v>
      </c>
      <c r="F36" s="519"/>
      <c r="G36" s="519"/>
    </row>
    <row r="37" spans="2:7" ht="16.5" thickBot="1" x14ac:dyDescent="0.3">
      <c r="B37" s="448" t="s">
        <v>19</v>
      </c>
      <c r="C37" s="449"/>
      <c r="D37" s="449"/>
      <c r="E37" s="25" t="str">
        <f>IF(OR(E35="Ano",E36="Ano"),"Ano","Ne")</f>
        <v>Ne</v>
      </c>
      <c r="F37" s="43" t="s">
        <v>366</v>
      </c>
    </row>
    <row r="38" spans="2:7" ht="16.5" thickBot="1" x14ac:dyDescent="0.3">
      <c r="B38" s="12"/>
      <c r="C38" s="12"/>
      <c r="D38" s="9"/>
      <c r="E38" s="5"/>
      <c r="F38" s="13"/>
    </row>
    <row r="39" spans="2:7" ht="43.9" customHeight="1" x14ac:dyDescent="0.25">
      <c r="B39" s="27" t="s">
        <v>103</v>
      </c>
      <c r="C39" s="403" t="s">
        <v>61</v>
      </c>
      <c r="D39" s="403"/>
      <c r="E39" s="28" t="s">
        <v>46</v>
      </c>
      <c r="F39" s="13"/>
    </row>
    <row r="40" spans="2:7" ht="57" customHeight="1" x14ac:dyDescent="0.25">
      <c r="B40" s="44" t="s">
        <v>517</v>
      </c>
      <c r="C40" s="447" t="s">
        <v>69</v>
      </c>
      <c r="D40" s="447"/>
      <c r="E40" s="54" t="str">
        <f>'2. Účetnictví'!F46</f>
        <v>Vyberte variantu</v>
      </c>
      <c r="F40" s="13"/>
    </row>
    <row r="41" spans="2:7" ht="45" customHeight="1" x14ac:dyDescent="0.25">
      <c r="B41" s="44" t="s">
        <v>176</v>
      </c>
      <c r="C41" s="447" t="s">
        <v>69</v>
      </c>
      <c r="D41" s="447"/>
      <c r="E41" s="54" t="str">
        <f>'2. Účetnictví'!F47</f>
        <v>Vyberte variantu</v>
      </c>
      <c r="F41" s="13"/>
    </row>
    <row r="42" spans="2:7" ht="16.5" thickBot="1" x14ac:dyDescent="0.3">
      <c r="B42" s="448" t="s">
        <v>20</v>
      </c>
      <c r="C42" s="449"/>
      <c r="D42" s="449"/>
      <c r="E42" s="25" t="str">
        <f>IF(OR(E40="Ano",E41="Ano"),"Ano","Ne")</f>
        <v>Ne</v>
      </c>
      <c r="F42" s="43" t="s">
        <v>366</v>
      </c>
    </row>
    <row r="43" spans="2:7" ht="16.5" thickBot="1" x14ac:dyDescent="0.3">
      <c r="B43" s="12"/>
      <c r="C43" s="12"/>
      <c r="D43" s="9"/>
      <c r="E43" s="5"/>
      <c r="F43" s="13"/>
    </row>
    <row r="44" spans="2:7" ht="16.5" thickBot="1" x14ac:dyDescent="0.3">
      <c r="B44" s="454" t="s">
        <v>104</v>
      </c>
      <c r="C44" s="455"/>
      <c r="D44" s="456"/>
      <c r="E44" s="26" t="str">
        <f>IF(OR(D18="kritéria A,C,D,E",D18="kritéria B,C,D,E",D18="kritéria C,D,E"),"RELEVANTNÍ","NERELEVANTNÍ")</f>
        <v>NERELEVANTNÍ</v>
      </c>
      <c r="F44" s="17"/>
    </row>
    <row r="45" spans="2:7" ht="16.5" thickBot="1" x14ac:dyDescent="0.3">
      <c r="B45" s="12"/>
      <c r="C45" s="12"/>
      <c r="D45" s="9"/>
      <c r="E45" s="21"/>
      <c r="F45" s="21"/>
    </row>
    <row r="46" spans="2:7" ht="37.15" customHeight="1" x14ac:dyDescent="0.25">
      <c r="B46" s="22" t="s">
        <v>105</v>
      </c>
      <c r="C46" s="45" t="s">
        <v>61</v>
      </c>
      <c r="D46" s="45" t="s">
        <v>98</v>
      </c>
      <c r="E46" s="23" t="str">
        <f>IF($D$8&gt;1,$D$8,"")</f>
        <v/>
      </c>
      <c r="F46" s="24" t="e">
        <f>IF($D$8&gt;1,$D$8-1,"")</f>
        <v>#VALUE!</v>
      </c>
    </row>
    <row r="47" spans="2:7" x14ac:dyDescent="0.25">
      <c r="B47" s="18" t="s">
        <v>15</v>
      </c>
      <c r="C47" s="19" t="s">
        <v>293</v>
      </c>
      <c r="D47" s="20" t="s">
        <v>5</v>
      </c>
      <c r="E47" s="49">
        <f>'2. Účetnictví'!F54</f>
        <v>0</v>
      </c>
      <c r="F47" s="50">
        <f>'2. Účetnictví'!G54</f>
        <v>0</v>
      </c>
    </row>
    <row r="48" spans="2:7" x14ac:dyDescent="0.25">
      <c r="B48" s="18" t="s">
        <v>99</v>
      </c>
      <c r="C48" s="19" t="s">
        <v>293</v>
      </c>
      <c r="D48" s="20" t="s">
        <v>37</v>
      </c>
      <c r="E48" s="49">
        <f>'2. Účetnictví'!F55</f>
        <v>0</v>
      </c>
      <c r="F48" s="50">
        <f>'2. Účetnictví'!G55</f>
        <v>0</v>
      </c>
    </row>
    <row r="49" spans="2:6" x14ac:dyDescent="0.25">
      <c r="B49" s="407" t="s">
        <v>88</v>
      </c>
      <c r="C49" s="408"/>
      <c r="D49" s="408"/>
      <c r="E49" s="6" t="str">
        <f>IF((E47)=0,"NR",(E48/E47))</f>
        <v>NR</v>
      </c>
      <c r="F49" s="7" t="str">
        <f>IF((F47)=0,"NR",(F48/F47))</f>
        <v>NR</v>
      </c>
    </row>
    <row r="50" spans="2:6" ht="16.5" thickBot="1" x14ac:dyDescent="0.3">
      <c r="B50" s="448" t="s">
        <v>22</v>
      </c>
      <c r="C50" s="449"/>
      <c r="D50" s="449"/>
      <c r="E50" s="10" t="str">
        <f>IF((E47)="0","Ano",IF((E49)&lt;0,"Chyba",IF(E49&gt;7.5,"Ano","Ne")))</f>
        <v>Ano</v>
      </c>
      <c r="F50" s="11" t="str">
        <f>IF((F47)="0","Ano",IF((F49)&lt;0,"Chyba",IF(F49&gt;7.5,"Ano","Ne")))</f>
        <v>Ano</v>
      </c>
    </row>
    <row r="51" spans="2:6" ht="16.5" thickBot="1" x14ac:dyDescent="0.3">
      <c r="B51" s="12"/>
      <c r="C51" s="12"/>
      <c r="D51" s="9"/>
      <c r="E51" s="21"/>
      <c r="F51" s="21"/>
    </row>
    <row r="52" spans="2:6" ht="37.9" customHeight="1" x14ac:dyDescent="0.25">
      <c r="B52" s="22" t="s">
        <v>106</v>
      </c>
      <c r="C52" s="45" t="s">
        <v>61</v>
      </c>
      <c r="D52" s="45" t="s">
        <v>98</v>
      </c>
      <c r="E52" s="23" t="str">
        <f>IF($D$8&gt;1,$D$8,"")</f>
        <v/>
      </c>
      <c r="F52" s="24" t="e">
        <f>IF($D$8&gt;1,$D$8-1,"")</f>
        <v>#VALUE!</v>
      </c>
    </row>
    <row r="53" spans="2:6" x14ac:dyDescent="0.25">
      <c r="B53" s="18" t="s">
        <v>23</v>
      </c>
      <c r="C53" s="19" t="s">
        <v>50</v>
      </c>
      <c r="D53" s="20" t="s">
        <v>308</v>
      </c>
      <c r="E53" s="49">
        <f>'2. Účetnictví'!F61</f>
        <v>0</v>
      </c>
      <c r="F53" s="50">
        <f>'2. Účetnictví'!G61</f>
        <v>0</v>
      </c>
    </row>
    <row r="54" spans="2:6" x14ac:dyDescent="0.25">
      <c r="B54" s="18" t="s">
        <v>25</v>
      </c>
      <c r="C54" s="19" t="s">
        <v>50</v>
      </c>
      <c r="D54" s="20" t="s">
        <v>309</v>
      </c>
      <c r="E54" s="49">
        <f>'2. Účetnictví'!F62</f>
        <v>0</v>
      </c>
      <c r="F54" s="50">
        <f>'2. Účetnictví'!G62</f>
        <v>0</v>
      </c>
    </row>
    <row r="55" spans="2:6" x14ac:dyDescent="0.25">
      <c r="B55" s="18" t="s">
        <v>27</v>
      </c>
      <c r="C55" s="19" t="s">
        <v>50</v>
      </c>
      <c r="D55" s="20" t="s">
        <v>310</v>
      </c>
      <c r="E55" s="49">
        <f>'2. Účetnictví'!F63</f>
        <v>0</v>
      </c>
      <c r="F55" s="50">
        <f>'2. Účetnictví'!G63</f>
        <v>0</v>
      </c>
    </row>
    <row r="56" spans="2:6" x14ac:dyDescent="0.25">
      <c r="B56" s="407" t="s">
        <v>89</v>
      </c>
      <c r="C56" s="408"/>
      <c r="D56" s="408"/>
      <c r="E56" s="6" t="str">
        <f>IF(E54=0,"NR",(E53+E54+E55)/E54)</f>
        <v>NR</v>
      </c>
      <c r="F56" s="7" t="str">
        <f>IF(F54=0,"NR",(F53+F54+F55)/F54)</f>
        <v>NR</v>
      </c>
    </row>
    <row r="57" spans="2:6" ht="16.5" thickBot="1" x14ac:dyDescent="0.3">
      <c r="B57" s="448" t="s">
        <v>107</v>
      </c>
      <c r="C57" s="449"/>
      <c r="D57" s="449"/>
      <c r="E57" s="10" t="str">
        <f>IF((E56)="NR","NR",IF((E56)&lt;1,"Ano","Ne"))</f>
        <v>NR</v>
      </c>
      <c r="F57" s="11" t="str">
        <f>IF((F56)="NR","NR",IF((F56)&lt;1,"Ano","Ne"))</f>
        <v>NR</v>
      </c>
    </row>
    <row r="58" spans="2:6" ht="16.5" thickBot="1" x14ac:dyDescent="0.3">
      <c r="B58" s="12"/>
      <c r="C58" s="12"/>
      <c r="D58" s="9"/>
      <c r="E58" s="5"/>
      <c r="F58" s="13"/>
    </row>
    <row r="59" spans="2:6" ht="16.5" thickBot="1" x14ac:dyDescent="0.3">
      <c r="B59" s="468" t="s">
        <v>29</v>
      </c>
      <c r="C59" s="469"/>
      <c r="D59" s="470"/>
      <c r="E59" s="14" t="str">
        <f>IF(AND(E50="ANO",F50="Ano",E57="Ano",F57="Ano"),"Ano","Ne")</f>
        <v>Ne</v>
      </c>
      <c r="F59" s="43" t="s">
        <v>366</v>
      </c>
    </row>
    <row r="60" spans="2:6" ht="16.5" thickBot="1" x14ac:dyDescent="0.3">
      <c r="B60" s="12"/>
      <c r="C60" s="12"/>
      <c r="D60" s="9"/>
      <c r="E60" s="5"/>
      <c r="F60" s="13"/>
    </row>
    <row r="61" spans="2:6" ht="16.5" thickBot="1" x14ac:dyDescent="0.3">
      <c r="B61" s="465" t="s">
        <v>108</v>
      </c>
      <c r="C61" s="466"/>
      <c r="D61" s="467"/>
      <c r="E61" s="16" t="str">
        <f>IF(OR(E25="ANO",E32="Ano",E37="Ano",E42="Ano",E59="Ano"),"Ano","Ne")</f>
        <v>Ne</v>
      </c>
      <c r="F61" s="55"/>
    </row>
  </sheetData>
  <sheetProtection algorithmName="SHA-512" hashValue="ZeRkxxwijExb2EDBWCGcfX4MIIqH8enhSpA5ZPSr1bUjYj6o30aPD3mFY0mvOlJ6LHPNa9+jMiuRgoFZFTK+Tw==" saltValue="1pXSB79+vtlzlseb8HSGnA==" spinCount="100000" sheet="1" objects="1" scenarios="1"/>
  <mergeCells count="48">
    <mergeCell ref="F35:G36"/>
    <mergeCell ref="B61:D61"/>
    <mergeCell ref="B44:D44"/>
    <mergeCell ref="B49:D49"/>
    <mergeCell ref="B50:D50"/>
    <mergeCell ref="B56:D56"/>
    <mergeCell ref="B57:D57"/>
    <mergeCell ref="B59:D59"/>
    <mergeCell ref="B42:D42"/>
    <mergeCell ref="C35:D35"/>
    <mergeCell ref="C36:D36"/>
    <mergeCell ref="B37:D37"/>
    <mergeCell ref="C39:D39"/>
    <mergeCell ref="C40:D40"/>
    <mergeCell ref="C41:D41"/>
    <mergeCell ref="B27:B28"/>
    <mergeCell ref="C27:C28"/>
    <mergeCell ref="D27:D28"/>
    <mergeCell ref="B32:D32"/>
    <mergeCell ref="C34:D34"/>
    <mergeCell ref="B25:D25"/>
    <mergeCell ref="B13:C13"/>
    <mergeCell ref="D13:F13"/>
    <mergeCell ref="B14:C14"/>
    <mergeCell ref="D14:F14"/>
    <mergeCell ref="B15:C15"/>
    <mergeCell ref="D15:F15"/>
    <mergeCell ref="B18:C18"/>
    <mergeCell ref="D18:E18"/>
    <mergeCell ref="B20:B21"/>
    <mergeCell ref="C20:C21"/>
    <mergeCell ref="D20:D21"/>
    <mergeCell ref="B10:C10"/>
    <mergeCell ref="D10:F10"/>
    <mergeCell ref="B11:C11"/>
    <mergeCell ref="D11:F11"/>
    <mergeCell ref="B12:C12"/>
    <mergeCell ref="D12:F12"/>
    <mergeCell ref="B7:C7"/>
    <mergeCell ref="D7:F7"/>
    <mergeCell ref="B8:C8"/>
    <mergeCell ref="D8:F8"/>
    <mergeCell ref="B4:C4"/>
    <mergeCell ref="D4:F4"/>
    <mergeCell ref="B5:C5"/>
    <mergeCell ref="D5:F5"/>
    <mergeCell ref="B6:C6"/>
    <mergeCell ref="D6:F6"/>
  </mergeCells>
  <conditionalFormatting sqref="A1:A19">
    <cfRule type="beginsWith" dxfId="153" priority="29" operator="beginsWith" text="RE">
      <formula>LEFT(A1,LEN("RE"))="RE"</formula>
    </cfRule>
    <cfRule type="containsText" dxfId="152" priority="30" operator="containsText" text="&quot;RELEVANTNÍ&quot;">
      <formula>NOT(ISERROR(SEARCH("""RELEVANTNÍ""",A1)))</formula>
    </cfRule>
  </conditionalFormatting>
  <conditionalFormatting sqref="A23:A33 A35:A38">
    <cfRule type="beginsWith" dxfId="151" priority="40" operator="beginsWith" text="RE">
      <formula>LEFT(A23,LEN("RE"))="RE"</formula>
    </cfRule>
    <cfRule type="containsText" dxfId="150" priority="41" operator="containsText" text="&quot;RELEVANTNÍ&quot;">
      <formula>NOT(ISERROR(SEARCH("""RELEVANTNÍ""",A23)))</formula>
    </cfRule>
  </conditionalFormatting>
  <conditionalFormatting sqref="A40:A61">
    <cfRule type="beginsWith" dxfId="149" priority="18" operator="beginsWith" text="RE">
      <formula>LEFT(A40,LEN("RE"))="RE"</formula>
    </cfRule>
    <cfRule type="containsText" dxfId="148" priority="19" operator="containsText" text="&quot;RELEVANTNÍ&quot;">
      <formula>NOT(ISERROR(SEARCH("""RELEVANTNÍ""",A40)))</formula>
    </cfRule>
  </conditionalFormatting>
  <conditionalFormatting sqref="E21">
    <cfRule type="beginsWith" dxfId="147" priority="10" operator="beginsWith" text="RE">
      <formula>LEFT(E21,LEN("RE"))="RE"</formula>
    </cfRule>
  </conditionalFormatting>
  <conditionalFormatting sqref="E22:E24">
    <cfRule type="expression" dxfId="146" priority="28">
      <formula>$E$20="NERELEVANTNÍ"</formula>
    </cfRule>
  </conditionalFormatting>
  <conditionalFormatting sqref="E25">
    <cfRule type="containsText" dxfId="145" priority="42" operator="containsText" text="Ne">
      <formula>NOT(ISERROR(SEARCH("Ne",E25)))</formula>
    </cfRule>
    <cfRule type="containsText" dxfId="144" priority="43" operator="containsText" text="Ano">
      <formula>NOT(ISERROR(SEARCH("Ano",E25)))</formula>
    </cfRule>
  </conditionalFormatting>
  <conditionalFormatting sqref="E28">
    <cfRule type="beginsWith" dxfId="143" priority="9" operator="beginsWith" text="RE">
      <formula>LEFT(E28,LEN("RE"))="RE"</formula>
    </cfRule>
  </conditionalFormatting>
  <conditionalFormatting sqref="E29:E31">
    <cfRule type="expression" dxfId="142" priority="26">
      <formula>$E$27="NERELEVANTNÍ"</formula>
    </cfRule>
  </conditionalFormatting>
  <conditionalFormatting sqref="E30:E31">
    <cfRule type="beginsWith" dxfId="141" priority="27" operator="beginsWith" text="RE">
      <formula>LEFT(E30,LEN("RE"))="RE"</formula>
    </cfRule>
  </conditionalFormatting>
  <conditionalFormatting sqref="E32 E37 E42 E59 E61">
    <cfRule type="containsText" dxfId="140" priority="45" operator="containsText" text="Ano">
      <formula>NOT(ISERROR(SEARCH("Ano",E32)))</formula>
    </cfRule>
  </conditionalFormatting>
  <conditionalFormatting sqref="E32 E42 E37 E59 E61">
    <cfRule type="containsText" dxfId="139" priority="44" operator="containsText" text="Ne">
      <formula>NOT(ISERROR(SEARCH("Ne",E32)))</formula>
    </cfRule>
  </conditionalFormatting>
  <conditionalFormatting sqref="E14:F15">
    <cfRule type="beginsWith" dxfId="138" priority="15" operator="beginsWith" text="RE">
      <formula>LEFT(E14,LEN("RE"))="RE"</formula>
    </cfRule>
  </conditionalFormatting>
  <conditionalFormatting sqref="E23:F27 E1:F9 E17:F17 E18 E19:F20 F21:F22 F28:F31 E32:F34 E42">
    <cfRule type="beginsWith" dxfId="137" priority="39" operator="beginsWith" text="RE">
      <formula>LEFT(E1,LEN("RE"))="RE"</formula>
    </cfRule>
  </conditionalFormatting>
  <conditionalFormatting sqref="E37:F39">
    <cfRule type="beginsWith" dxfId="136" priority="4" operator="beginsWith" text="RE">
      <formula>LEFT(E37,LEN("RE"))="RE"</formula>
    </cfRule>
  </conditionalFormatting>
  <conditionalFormatting sqref="E43:F46">
    <cfRule type="beginsWith" dxfId="135" priority="8" operator="beginsWith" text="RE">
      <formula>LEFT(E43,LEN("RE"))="RE"</formula>
    </cfRule>
  </conditionalFormatting>
  <conditionalFormatting sqref="E47:F48">
    <cfRule type="expression" dxfId="134" priority="22">
      <formula>$E$44="NERELEVANTNÍ"</formula>
    </cfRule>
  </conditionalFormatting>
  <conditionalFormatting sqref="E48:F48">
    <cfRule type="beginsWith" dxfId="133" priority="23" operator="beginsWith" text="RE">
      <formula>LEFT(E48,LEN("RE"))="RE"</formula>
    </cfRule>
  </conditionalFormatting>
  <conditionalFormatting sqref="E49:F52">
    <cfRule type="beginsWith" dxfId="132" priority="7" operator="beginsWith" text="RE">
      <formula>LEFT(E49,LEN("RE"))="RE"</formula>
    </cfRule>
  </conditionalFormatting>
  <conditionalFormatting sqref="E53:F55">
    <cfRule type="expression" dxfId="131" priority="20">
      <formula>$E$44="NERELEVANTNÍ"</formula>
    </cfRule>
  </conditionalFormatting>
  <conditionalFormatting sqref="E54:F54">
    <cfRule type="beginsWith" dxfId="130" priority="21" operator="beginsWith" text="RE">
      <formula>LEFT(E54,LEN("RE"))="RE"</formula>
    </cfRule>
  </conditionalFormatting>
  <conditionalFormatting sqref="E56:F61">
    <cfRule type="beginsWith" dxfId="129" priority="1" operator="beginsWith" text="RE">
      <formula>LEFT(E56,LEN("RE"))="RE"</formula>
    </cfRule>
  </conditionalFormatting>
  <conditionalFormatting sqref="F35">
    <cfRule type="beginsWith" dxfId="128" priority="5" operator="beginsWith" text="RE">
      <formula>LEFT(F35,LEN("RE"))="RE"</formula>
    </cfRule>
  </conditionalFormatting>
  <conditionalFormatting sqref="F40:F42">
    <cfRule type="beginsWith" dxfId="127" priority="3" operator="beginsWith" text="RE">
      <formula>LEFT(F40,LEN("RE"))="RE"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'typy žadatelů'!$D$10:$D$26</xm:f>
          </x14:formula1>
          <xm:sqref>D14:F14</xm:sqref>
        </x14:dataValidation>
        <x14:dataValidation type="list" allowBlank="1" showInputMessage="1" showErrorMessage="1" xr:uid="{00000000-0002-0000-0A00-000001000000}">
          <x14:formula1>
            <xm:f>'typy žadatelů'!$B$78:$B$80</xm:f>
          </x14:formula1>
          <xm:sqref>D15:F15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B2:H82"/>
  <sheetViews>
    <sheetView showGridLines="0" topLeftCell="A66" workbookViewId="0">
      <selection activeCell="A66" sqref="A1:XFD1048576"/>
    </sheetView>
  </sheetViews>
  <sheetFormatPr defaultColWidth="11" defaultRowHeight="12.75" x14ac:dyDescent="0.2"/>
  <cols>
    <col min="1" max="1" width="3.125" style="59" customWidth="1"/>
    <col min="2" max="2" width="47.5" style="65" customWidth="1"/>
    <col min="3" max="3" width="7.5" style="57" customWidth="1"/>
    <col min="4" max="4" width="47.5" style="59" customWidth="1"/>
    <col min="5" max="16384" width="11" style="59"/>
  </cols>
  <sheetData>
    <row r="2" spans="2:8" ht="15" x14ac:dyDescent="0.25">
      <c r="B2" s="56" t="s">
        <v>185</v>
      </c>
      <c r="D2" s="58" t="s">
        <v>186</v>
      </c>
    </row>
    <row r="3" spans="2:8" x14ac:dyDescent="0.2">
      <c r="B3" s="60" t="s">
        <v>177</v>
      </c>
      <c r="D3" s="60" t="s">
        <v>177</v>
      </c>
      <c r="H3" s="59" t="str">
        <f>""</f>
        <v/>
      </c>
    </row>
    <row r="4" spans="2:8" x14ac:dyDescent="0.2">
      <c r="B4" s="61" t="s">
        <v>183</v>
      </c>
      <c r="D4" s="61" t="s">
        <v>183</v>
      </c>
      <c r="H4" s="59" t="str">
        <f>""</f>
        <v/>
      </c>
    </row>
    <row r="5" spans="2:8" x14ac:dyDescent="0.2">
      <c r="B5" s="61" t="s">
        <v>112</v>
      </c>
      <c r="D5" s="61" t="s">
        <v>130</v>
      </c>
    </row>
    <row r="6" spans="2:8" x14ac:dyDescent="0.2">
      <c r="B6" s="61" t="s">
        <v>113</v>
      </c>
      <c r="D6" s="61" t="s">
        <v>141</v>
      </c>
    </row>
    <row r="7" spans="2:8" x14ac:dyDescent="0.2">
      <c r="B7" s="61" t="s">
        <v>114</v>
      </c>
      <c r="D7" s="61" t="s">
        <v>184</v>
      </c>
    </row>
    <row r="8" spans="2:8" x14ac:dyDescent="0.2">
      <c r="B8" s="61" t="s">
        <v>173</v>
      </c>
    </row>
    <row r="9" spans="2:8" ht="15" x14ac:dyDescent="0.25">
      <c r="B9" s="61" t="s">
        <v>172</v>
      </c>
      <c r="D9" s="58" t="s">
        <v>187</v>
      </c>
    </row>
    <row r="10" spans="2:8" x14ac:dyDescent="0.2">
      <c r="B10" s="61" t="s">
        <v>115</v>
      </c>
      <c r="D10" s="60" t="s">
        <v>177</v>
      </c>
    </row>
    <row r="11" spans="2:8" x14ac:dyDescent="0.2">
      <c r="B11" s="61" t="s">
        <v>116</v>
      </c>
      <c r="D11" s="61" t="s">
        <v>183</v>
      </c>
    </row>
    <row r="12" spans="2:8" x14ac:dyDescent="0.2">
      <c r="B12" s="61" t="s">
        <v>117</v>
      </c>
      <c r="D12" s="61" t="s">
        <v>112</v>
      </c>
    </row>
    <row r="13" spans="2:8" x14ac:dyDescent="0.2">
      <c r="B13" s="61" t="s">
        <v>171</v>
      </c>
      <c r="D13" s="61" t="s">
        <v>113</v>
      </c>
    </row>
    <row r="14" spans="2:8" x14ac:dyDescent="0.2">
      <c r="B14" s="61" t="s">
        <v>198</v>
      </c>
      <c r="D14" s="61" t="s">
        <v>114</v>
      </c>
    </row>
    <row r="15" spans="2:8" x14ac:dyDescent="0.2">
      <c r="B15" s="61" t="s">
        <v>170</v>
      </c>
      <c r="D15" s="61" t="s">
        <v>115</v>
      </c>
    </row>
    <row r="16" spans="2:8" x14ac:dyDescent="0.2">
      <c r="B16" s="61" t="s">
        <v>118</v>
      </c>
      <c r="D16" s="61" t="s">
        <v>171</v>
      </c>
    </row>
    <row r="17" spans="2:4" x14ac:dyDescent="0.2">
      <c r="B17" s="61" t="s">
        <v>119</v>
      </c>
      <c r="D17" s="61" t="s">
        <v>198</v>
      </c>
    </row>
    <row r="18" spans="2:4" x14ac:dyDescent="0.2">
      <c r="B18" s="61" t="s">
        <v>120</v>
      </c>
      <c r="D18" s="61" t="s">
        <v>118</v>
      </c>
    </row>
    <row r="19" spans="2:4" x14ac:dyDescent="0.2">
      <c r="B19" s="61" t="s">
        <v>169</v>
      </c>
      <c r="D19" s="61" t="s">
        <v>119</v>
      </c>
    </row>
    <row r="20" spans="2:4" x14ac:dyDescent="0.2">
      <c r="B20" s="61" t="s">
        <v>121</v>
      </c>
      <c r="D20" s="61" t="s">
        <v>120</v>
      </c>
    </row>
    <row r="21" spans="2:4" x14ac:dyDescent="0.2">
      <c r="B21" s="61" t="s">
        <v>168</v>
      </c>
      <c r="D21" s="61" t="s">
        <v>128</v>
      </c>
    </row>
    <row r="22" spans="2:4" x14ac:dyDescent="0.2">
      <c r="B22" s="61" t="s">
        <v>122</v>
      </c>
      <c r="D22" s="61" t="s">
        <v>130</v>
      </c>
    </row>
    <row r="23" spans="2:4" x14ac:dyDescent="0.2">
      <c r="B23" s="61" t="s">
        <v>123</v>
      </c>
      <c r="D23" s="61" t="s">
        <v>165</v>
      </c>
    </row>
    <row r="24" spans="2:4" x14ac:dyDescent="0.2">
      <c r="B24" s="61" t="s">
        <v>191</v>
      </c>
      <c r="D24" s="61" t="s">
        <v>152</v>
      </c>
    </row>
    <row r="25" spans="2:4" x14ac:dyDescent="0.2">
      <c r="B25" s="61" t="s">
        <v>124</v>
      </c>
      <c r="D25" s="61" t="s">
        <v>153</v>
      </c>
    </row>
    <row r="26" spans="2:4" x14ac:dyDescent="0.2">
      <c r="B26" s="61" t="s">
        <v>125</v>
      </c>
      <c r="D26" s="61" t="s">
        <v>184</v>
      </c>
    </row>
    <row r="27" spans="2:4" x14ac:dyDescent="0.2">
      <c r="B27" s="61" t="s">
        <v>126</v>
      </c>
    </row>
    <row r="28" spans="2:4" ht="15" x14ac:dyDescent="0.25">
      <c r="B28" s="61" t="s">
        <v>127</v>
      </c>
      <c r="D28" s="58" t="s">
        <v>188</v>
      </c>
    </row>
    <row r="29" spans="2:4" x14ac:dyDescent="0.2">
      <c r="B29" s="61" t="s">
        <v>195</v>
      </c>
      <c r="D29" s="60" t="s">
        <v>177</v>
      </c>
    </row>
    <row r="30" spans="2:4" x14ac:dyDescent="0.2">
      <c r="B30" s="61" t="s">
        <v>167</v>
      </c>
      <c r="D30" s="61" t="s">
        <v>173</v>
      </c>
    </row>
    <row r="31" spans="2:4" x14ac:dyDescent="0.2">
      <c r="B31" s="61" t="s">
        <v>166</v>
      </c>
      <c r="D31" s="61" t="s">
        <v>172</v>
      </c>
    </row>
    <row r="32" spans="2:4" x14ac:dyDescent="0.2">
      <c r="B32" s="61" t="s">
        <v>128</v>
      </c>
      <c r="D32" s="61" t="s">
        <v>116</v>
      </c>
    </row>
    <row r="33" spans="2:4" x14ac:dyDescent="0.2">
      <c r="B33" s="61" t="s">
        <v>192</v>
      </c>
      <c r="D33" s="61" t="s">
        <v>117</v>
      </c>
    </row>
    <row r="34" spans="2:4" x14ac:dyDescent="0.2">
      <c r="B34" s="61" t="s">
        <v>129</v>
      </c>
      <c r="D34" s="61" t="s">
        <v>170</v>
      </c>
    </row>
    <row r="35" spans="2:4" x14ac:dyDescent="0.2">
      <c r="B35" s="61" t="s">
        <v>130</v>
      </c>
      <c r="D35" s="61" t="s">
        <v>192</v>
      </c>
    </row>
    <row r="36" spans="2:4" x14ac:dyDescent="0.2">
      <c r="B36" s="61" t="s">
        <v>165</v>
      </c>
      <c r="D36" s="61" t="s">
        <v>129</v>
      </c>
    </row>
    <row r="37" spans="2:4" x14ac:dyDescent="0.2">
      <c r="B37" s="61" t="s">
        <v>164</v>
      </c>
      <c r="D37" s="61" t="s">
        <v>193</v>
      </c>
    </row>
    <row r="38" spans="2:4" x14ac:dyDescent="0.2">
      <c r="B38" s="61" t="s">
        <v>163</v>
      </c>
      <c r="D38" s="61" t="s">
        <v>131</v>
      </c>
    </row>
    <row r="39" spans="2:4" x14ac:dyDescent="0.2">
      <c r="B39" s="61" t="s">
        <v>193</v>
      </c>
      <c r="D39" s="61" t="s">
        <v>132</v>
      </c>
    </row>
    <row r="40" spans="2:4" x14ac:dyDescent="0.2">
      <c r="B40" s="61" t="s">
        <v>194</v>
      </c>
      <c r="D40" s="61" t="s">
        <v>133</v>
      </c>
    </row>
    <row r="41" spans="2:4" ht="25.5" x14ac:dyDescent="0.2">
      <c r="B41" s="61" t="s">
        <v>131</v>
      </c>
      <c r="D41" s="62" t="s">
        <v>196</v>
      </c>
    </row>
    <row r="42" spans="2:4" x14ac:dyDescent="0.2">
      <c r="B42" s="61" t="s">
        <v>132</v>
      </c>
      <c r="D42" s="61" t="s">
        <v>134</v>
      </c>
    </row>
    <row r="43" spans="2:4" x14ac:dyDescent="0.2">
      <c r="B43" s="61" t="s">
        <v>133</v>
      </c>
      <c r="D43" s="61" t="s">
        <v>135</v>
      </c>
    </row>
    <row r="44" spans="2:4" ht="25.5" x14ac:dyDescent="0.2">
      <c r="B44" s="62" t="s">
        <v>196</v>
      </c>
      <c r="D44" s="61" t="s">
        <v>136</v>
      </c>
    </row>
    <row r="45" spans="2:4" x14ac:dyDescent="0.2">
      <c r="B45" s="61" t="s">
        <v>134</v>
      </c>
      <c r="D45" s="61" t="s">
        <v>137</v>
      </c>
    </row>
    <row r="46" spans="2:4" x14ac:dyDescent="0.2">
      <c r="B46" s="61" t="s">
        <v>135</v>
      </c>
      <c r="D46" s="61" t="s">
        <v>180</v>
      </c>
    </row>
    <row r="47" spans="2:4" x14ac:dyDescent="0.2">
      <c r="B47" s="61" t="s">
        <v>136</v>
      </c>
      <c r="D47" s="61" t="s">
        <v>138</v>
      </c>
    </row>
    <row r="48" spans="2:4" x14ac:dyDescent="0.2">
      <c r="B48" s="61" t="s">
        <v>137</v>
      </c>
      <c r="D48" s="61" t="s">
        <v>139</v>
      </c>
    </row>
    <row r="49" spans="2:4" ht="25.5" x14ac:dyDescent="0.2">
      <c r="B49" s="61" t="s">
        <v>180</v>
      </c>
      <c r="D49" s="62" t="s">
        <v>197</v>
      </c>
    </row>
    <row r="50" spans="2:4" x14ac:dyDescent="0.2">
      <c r="B50" s="61" t="s">
        <v>138</v>
      </c>
      <c r="D50" s="61" t="s">
        <v>162</v>
      </c>
    </row>
    <row r="51" spans="2:4" x14ac:dyDescent="0.2">
      <c r="B51" s="61" t="s">
        <v>139</v>
      </c>
      <c r="D51" s="61" t="s">
        <v>182</v>
      </c>
    </row>
    <row r="52" spans="2:4" ht="25.5" x14ac:dyDescent="0.2">
      <c r="B52" s="62" t="s">
        <v>197</v>
      </c>
      <c r="D52" s="61" t="s">
        <v>181</v>
      </c>
    </row>
    <row r="53" spans="2:4" x14ac:dyDescent="0.2">
      <c r="B53" s="61" t="s">
        <v>162</v>
      </c>
      <c r="D53" s="61" t="s">
        <v>140</v>
      </c>
    </row>
    <row r="54" spans="2:4" x14ac:dyDescent="0.2">
      <c r="B54" s="61" t="s">
        <v>182</v>
      </c>
      <c r="D54" s="61" t="s">
        <v>147</v>
      </c>
    </row>
    <row r="55" spans="2:4" x14ac:dyDescent="0.2">
      <c r="B55" s="61" t="s">
        <v>181</v>
      </c>
      <c r="D55" s="61" t="s">
        <v>148</v>
      </c>
    </row>
    <row r="56" spans="2:4" x14ac:dyDescent="0.2">
      <c r="B56" s="61" t="s">
        <v>140</v>
      </c>
      <c r="D56" s="61" t="s">
        <v>149</v>
      </c>
    </row>
    <row r="57" spans="2:4" x14ac:dyDescent="0.2">
      <c r="B57" s="61" t="s">
        <v>141</v>
      </c>
      <c r="D57" s="61" t="s">
        <v>150</v>
      </c>
    </row>
    <row r="58" spans="2:4" x14ac:dyDescent="0.2">
      <c r="B58" s="61" t="s">
        <v>142</v>
      </c>
      <c r="D58" s="61" t="s">
        <v>151</v>
      </c>
    </row>
    <row r="59" spans="2:4" x14ac:dyDescent="0.2">
      <c r="B59" s="61" t="s">
        <v>143</v>
      </c>
      <c r="D59" s="61" t="s">
        <v>161</v>
      </c>
    </row>
    <row r="60" spans="2:4" x14ac:dyDescent="0.2">
      <c r="B60" s="61" t="s">
        <v>144</v>
      </c>
      <c r="D60" s="61" t="s">
        <v>184</v>
      </c>
    </row>
    <row r="61" spans="2:4" x14ac:dyDescent="0.2">
      <c r="B61" s="61" t="s">
        <v>145</v>
      </c>
    </row>
    <row r="62" spans="2:4" ht="15" x14ac:dyDescent="0.25">
      <c r="B62" s="61" t="s">
        <v>146</v>
      </c>
      <c r="D62" s="58" t="s">
        <v>189</v>
      </c>
    </row>
    <row r="63" spans="2:4" x14ac:dyDescent="0.2">
      <c r="B63" s="61" t="s">
        <v>147</v>
      </c>
      <c r="D63" s="60" t="s">
        <v>177</v>
      </c>
    </row>
    <row r="64" spans="2:4" x14ac:dyDescent="0.2">
      <c r="B64" s="61" t="s">
        <v>148</v>
      </c>
      <c r="D64" s="61"/>
    </row>
    <row r="65" spans="2:4" x14ac:dyDescent="0.2">
      <c r="B65" s="61" t="s">
        <v>149</v>
      </c>
      <c r="D65" s="61" t="s">
        <v>122</v>
      </c>
    </row>
    <row r="66" spans="2:4" x14ac:dyDescent="0.2">
      <c r="B66" s="61" t="s">
        <v>150</v>
      </c>
      <c r="D66" s="61" t="s">
        <v>123</v>
      </c>
    </row>
    <row r="67" spans="2:4" x14ac:dyDescent="0.2">
      <c r="B67" s="61" t="s">
        <v>190</v>
      </c>
      <c r="D67" s="61" t="s">
        <v>191</v>
      </c>
    </row>
    <row r="68" spans="2:4" x14ac:dyDescent="0.2">
      <c r="B68" s="61" t="s">
        <v>151</v>
      </c>
      <c r="D68" s="61" t="s">
        <v>125</v>
      </c>
    </row>
    <row r="69" spans="2:4" x14ac:dyDescent="0.2">
      <c r="B69" s="61" t="s">
        <v>152</v>
      </c>
      <c r="D69" s="61" t="s">
        <v>127</v>
      </c>
    </row>
    <row r="70" spans="2:4" x14ac:dyDescent="0.2">
      <c r="B70" s="61" t="s">
        <v>153</v>
      </c>
      <c r="D70" s="61" t="s">
        <v>195</v>
      </c>
    </row>
    <row r="71" spans="2:4" x14ac:dyDescent="0.2">
      <c r="B71" s="61" t="s">
        <v>161</v>
      </c>
      <c r="D71" s="61" t="s">
        <v>194</v>
      </c>
    </row>
    <row r="72" spans="2:4" x14ac:dyDescent="0.2">
      <c r="B72" s="61" t="s">
        <v>154</v>
      </c>
      <c r="D72" s="61" t="s">
        <v>142</v>
      </c>
    </row>
    <row r="73" spans="2:4" ht="25.5" x14ac:dyDescent="0.2">
      <c r="B73" s="62" t="s">
        <v>160</v>
      </c>
      <c r="D73" s="61" t="s">
        <v>143</v>
      </c>
    </row>
    <row r="74" spans="2:4" ht="25.5" x14ac:dyDescent="0.2">
      <c r="B74" s="62" t="s">
        <v>159</v>
      </c>
      <c r="D74" s="61" t="s">
        <v>144</v>
      </c>
    </row>
    <row r="75" spans="2:4" x14ac:dyDescent="0.2">
      <c r="B75" s="61" t="s">
        <v>157</v>
      </c>
      <c r="D75" s="61" t="s">
        <v>145</v>
      </c>
    </row>
    <row r="76" spans="2:4" x14ac:dyDescent="0.2">
      <c r="B76" s="61" t="s">
        <v>158</v>
      </c>
      <c r="D76" s="61" t="s">
        <v>146</v>
      </c>
    </row>
    <row r="77" spans="2:4" x14ac:dyDescent="0.2">
      <c r="B77" s="63"/>
      <c r="D77" s="61" t="s">
        <v>184</v>
      </c>
    </row>
    <row r="78" spans="2:4" x14ac:dyDescent="0.2">
      <c r="B78" s="64" t="s">
        <v>71</v>
      </c>
    </row>
    <row r="79" spans="2:4" ht="15" x14ac:dyDescent="0.25">
      <c r="B79" s="61" t="s">
        <v>2</v>
      </c>
      <c r="D79" s="58" t="s">
        <v>199</v>
      </c>
    </row>
    <row r="80" spans="2:4" x14ac:dyDescent="0.2">
      <c r="B80" s="61" t="s">
        <v>3</v>
      </c>
      <c r="D80" s="60" t="s">
        <v>177</v>
      </c>
    </row>
    <row r="81" spans="4:4" x14ac:dyDescent="0.2">
      <c r="D81" s="61" t="s">
        <v>115</v>
      </c>
    </row>
    <row r="82" spans="4:4" x14ac:dyDescent="0.2">
      <c r="D82" s="61" t="s">
        <v>184</v>
      </c>
    </row>
  </sheetData>
  <sheetProtection algorithmName="SHA-512" hashValue="jkoA7GE1+1sZnQPRKY+3xaIoDgWlC3UGc3LDmpzWYQe40wnOdNc8fKPtObyBDYW3aSWB83ivVDNiBDrR80oLNw==" saltValue="bQP3JeTcRjKjAP+XG8bEiA==" spinCount="100000" sheet="1" objects="1" scenarios="1"/>
  <conditionalFormatting sqref="C1:C1048576">
    <cfRule type="containsText" dxfId="126" priority="1" operator="containsText" text="B2">
      <formula>NOT(ISERROR(SEARCH("B2",C1)))</formula>
    </cfRule>
    <cfRule type="containsText" dxfId="125" priority="2" operator="containsText" text="B1">
      <formula>NOT(ISERROR(SEARCH("B1",C1)))</formula>
    </cfRule>
    <cfRule type="containsText" dxfId="124" priority="3" operator="containsText" text="A2">
      <formula>NOT(ISERROR(SEARCH("A2",C1)))</formula>
    </cfRule>
    <cfRule type="containsText" dxfId="123" priority="4" operator="containsText" text="A1">
      <formula>NOT(ISERROR(SEARCH("A1",C1)))</formula>
    </cfRule>
  </conditionalFormatting>
  <pageMargins left="0.7" right="0.7" top="0.75" bottom="0.75" header="0.3" footer="0.3"/>
  <pageSetup paperSize="9" scale="65"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2:H61"/>
  <sheetViews>
    <sheetView showGridLines="0" topLeftCell="A24" zoomScale="94" zoomScaleNormal="110" workbookViewId="0">
      <selection activeCell="B41" sqref="B41"/>
    </sheetView>
  </sheetViews>
  <sheetFormatPr defaultColWidth="11" defaultRowHeight="14.25" x14ac:dyDescent="0.25"/>
  <cols>
    <col min="1" max="1" width="5.75" style="5" customWidth="1"/>
    <col min="2" max="2" width="62.75" style="13" customWidth="1"/>
    <col min="3" max="3" width="9.625" style="17" customWidth="1"/>
    <col min="4" max="4" width="12.625" style="5" customWidth="1"/>
    <col min="5" max="5" width="17" style="5" customWidth="1"/>
    <col min="6" max="6" width="15.5" style="13" customWidth="1"/>
    <col min="7" max="7" width="28" style="12" customWidth="1"/>
    <col min="8" max="8" width="11" style="9" customWidth="1"/>
    <col min="9" max="16384" width="11" style="5"/>
  </cols>
  <sheetData>
    <row r="2" spans="1:6" ht="18" x14ac:dyDescent="0.25">
      <c r="B2" s="35" t="s">
        <v>272</v>
      </c>
      <c r="C2" s="36"/>
    </row>
    <row r="3" spans="1:6" ht="11.65" customHeight="1" thickBot="1" x14ac:dyDescent="0.3"/>
    <row r="4" spans="1:6" ht="21" customHeight="1" x14ac:dyDescent="0.25">
      <c r="A4" s="32" t="s">
        <v>74</v>
      </c>
      <c r="B4" s="421" t="s">
        <v>80</v>
      </c>
      <c r="C4" s="422"/>
      <c r="D4" s="503">
        <f>'2. Účetnictví'!E4</f>
        <v>0</v>
      </c>
      <c r="E4" s="503"/>
      <c r="F4" s="504"/>
    </row>
    <row r="5" spans="1:6" ht="15" hidden="1" x14ac:dyDescent="0.25">
      <c r="A5" s="21"/>
      <c r="B5" s="424" t="s">
        <v>0</v>
      </c>
      <c r="C5" s="413"/>
      <c r="D5" s="505"/>
      <c r="E5" s="505"/>
      <c r="F5" s="506"/>
    </row>
    <row r="6" spans="1:6" ht="21" customHeight="1" x14ac:dyDescent="0.25">
      <c r="A6" s="21"/>
      <c r="B6" s="424" t="s">
        <v>1</v>
      </c>
      <c r="C6" s="413"/>
      <c r="D6" s="507">
        <f>'2. Účetnictví'!E6</f>
        <v>0</v>
      </c>
      <c r="E6" s="505"/>
      <c r="F6" s="506"/>
    </row>
    <row r="7" spans="1:6" ht="28.9" customHeight="1" x14ac:dyDescent="0.25">
      <c r="A7" s="21"/>
      <c r="B7" s="424" t="s">
        <v>246</v>
      </c>
      <c r="C7" s="413"/>
      <c r="D7" s="508">
        <f>'2. Účetnictví'!E8</f>
        <v>42222</v>
      </c>
      <c r="E7" s="508"/>
      <c r="F7" s="509"/>
    </row>
    <row r="8" spans="1:6" ht="21" customHeight="1" thickBot="1" x14ac:dyDescent="0.3">
      <c r="A8" s="21"/>
      <c r="B8" s="461" t="s">
        <v>273</v>
      </c>
      <c r="C8" s="462"/>
      <c r="D8" s="510" t="str">
        <f>'2. Účetnictví'!E11</f>
        <v/>
      </c>
      <c r="E8" s="510"/>
      <c r="F8" s="511"/>
    </row>
    <row r="9" spans="1:6" ht="9.6" customHeight="1" thickBot="1" x14ac:dyDescent="0.3">
      <c r="A9" s="21"/>
    </row>
    <row r="10" spans="1:6" ht="21" customHeight="1" x14ac:dyDescent="0.25">
      <c r="A10" s="21"/>
      <c r="B10" s="421" t="s">
        <v>262</v>
      </c>
      <c r="C10" s="422"/>
      <c r="D10" s="512" t="str">
        <f>'2. Účetnictví'!E16</f>
        <v>Vyberte variantu</v>
      </c>
      <c r="E10" s="512"/>
      <c r="F10" s="513"/>
    </row>
    <row r="11" spans="1:6" s="9" customFormat="1" ht="21" customHeight="1" x14ac:dyDescent="0.25">
      <c r="A11" s="21"/>
      <c r="B11" s="459" t="s">
        <v>256</v>
      </c>
      <c r="C11" s="460"/>
      <c r="D11" s="439" t="str">
        <f>'2. Účetnictví'!E17</f>
        <v>Vyberte variantu</v>
      </c>
      <c r="E11" s="439"/>
      <c r="F11" s="514"/>
    </row>
    <row r="12" spans="1:6" s="9" customFormat="1" ht="21" customHeight="1" x14ac:dyDescent="0.25">
      <c r="A12" s="21"/>
      <c r="B12" s="424" t="s">
        <v>263</v>
      </c>
      <c r="C12" s="413"/>
      <c r="D12" s="439" t="str">
        <f>'2. Účetnictví'!E18</f>
        <v>Vyberte variantu</v>
      </c>
      <c r="E12" s="439"/>
      <c r="F12" s="514"/>
    </row>
    <row r="13" spans="1:6" s="9" customFormat="1" ht="33.6" customHeight="1" thickBot="1" x14ac:dyDescent="0.3">
      <c r="A13" s="21"/>
      <c r="B13" s="461" t="s">
        <v>236</v>
      </c>
      <c r="C13" s="462"/>
      <c r="D13" s="515" t="str">
        <f>Výpočty!D46</f>
        <v/>
      </c>
      <c r="E13" s="515"/>
      <c r="F13" s="516"/>
    </row>
    <row r="14" spans="1:6" s="9" customFormat="1" ht="21" hidden="1" customHeight="1" x14ac:dyDescent="0.25">
      <c r="A14" s="21"/>
      <c r="B14" s="428" t="s">
        <v>79</v>
      </c>
      <c r="C14" s="429"/>
      <c r="D14" s="549" t="s">
        <v>173</v>
      </c>
      <c r="E14" s="549"/>
      <c r="F14" s="550"/>
    </row>
    <row r="15" spans="1:6" s="9" customFormat="1" ht="21" hidden="1" customHeight="1" thickBot="1" x14ac:dyDescent="0.3">
      <c r="A15" s="21"/>
      <c r="B15" s="437" t="s">
        <v>248</v>
      </c>
      <c r="C15" s="438"/>
      <c r="D15" s="510" t="s">
        <v>71</v>
      </c>
      <c r="E15" s="510"/>
      <c r="F15" s="511"/>
    </row>
    <row r="17" spans="1:7" ht="15" thickBot="1" x14ac:dyDescent="0.3"/>
    <row r="18" spans="1:7" s="9" customFormat="1" ht="20.25" customHeight="1" thickBot="1" x14ac:dyDescent="0.3">
      <c r="A18" s="32" t="s">
        <v>75</v>
      </c>
      <c r="B18" s="485" t="s">
        <v>90</v>
      </c>
      <c r="C18" s="486"/>
      <c r="D18" s="44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8" s="441"/>
      <c r="F18" s="48"/>
      <c r="G18"/>
    </row>
    <row r="19" spans="1:7" s="9" customFormat="1" ht="7.9" customHeight="1" thickBot="1" x14ac:dyDescent="0.3">
      <c r="A19" s="32"/>
      <c r="B19" s="12"/>
      <c r="C19" s="12"/>
      <c r="D19" s="12"/>
      <c r="E19" s="12"/>
      <c r="F19" s="12"/>
      <c r="G19" s="12"/>
    </row>
    <row r="20" spans="1:7" s="9" customFormat="1" ht="20.25" customHeight="1" x14ac:dyDescent="0.25">
      <c r="A20" s="32"/>
      <c r="B20" s="421" t="s">
        <v>319</v>
      </c>
      <c r="C20" s="445" t="s">
        <v>61</v>
      </c>
      <c r="D20" s="520" t="s">
        <v>64</v>
      </c>
      <c r="E20" s="28" t="str">
        <f>IF(OR(D18="kritéria A,C,D,E",D18="kritéria A,C,D"),"RELEVANTNÍ","NERELEVANTNÍ")</f>
        <v>NERELEVANTNÍ</v>
      </c>
      <c r="F20" s="12"/>
      <c r="G20" s="12"/>
    </row>
    <row r="21" spans="1:7" s="9" customFormat="1" ht="20.25" customHeight="1" x14ac:dyDescent="0.25">
      <c r="A21" s="32"/>
      <c r="B21" s="424"/>
      <c r="C21" s="446"/>
      <c r="D21" s="521"/>
      <c r="E21" s="33" t="str">
        <f>IF($D$8&gt;1,$D$8,"")</f>
        <v/>
      </c>
      <c r="F21" s="12"/>
      <c r="G21" s="12"/>
    </row>
    <row r="22" spans="1:7" s="9" customFormat="1" ht="20.25" customHeight="1" x14ac:dyDescent="0.25">
      <c r="A22" s="32"/>
      <c r="B22" s="29" t="s">
        <v>65</v>
      </c>
      <c r="C22" s="30" t="s">
        <v>62</v>
      </c>
      <c r="D22" s="31" t="s">
        <v>5</v>
      </c>
      <c r="E22" s="50">
        <f>'2. Účetnictví'!F28</f>
        <v>0</v>
      </c>
      <c r="F22" s="12"/>
      <c r="G22" s="12"/>
    </row>
    <row r="23" spans="1:7" s="9" customFormat="1" ht="20.100000000000001" customHeight="1" x14ac:dyDescent="0.25">
      <c r="A23" s="32"/>
      <c r="B23" s="29" t="s">
        <v>30</v>
      </c>
      <c r="C23" s="30" t="s">
        <v>62</v>
      </c>
      <c r="D23" s="31" t="s">
        <v>239</v>
      </c>
      <c r="E23" s="50">
        <f>'2. Účetnictví'!F29</f>
        <v>0</v>
      </c>
      <c r="F23" s="551" t="s">
        <v>240</v>
      </c>
      <c r="G23" s="552"/>
    </row>
    <row r="24" spans="1:7" s="9" customFormat="1" ht="20.25" customHeight="1" x14ac:dyDescent="0.25">
      <c r="A24" s="32"/>
      <c r="B24" s="29" t="s">
        <v>72</v>
      </c>
      <c r="C24" s="30" t="s">
        <v>62</v>
      </c>
      <c r="D24" s="31" t="s">
        <v>239</v>
      </c>
      <c r="E24" s="50">
        <f>'2. Účetnictví'!F30</f>
        <v>0</v>
      </c>
      <c r="F24" s="551"/>
      <c r="G24" s="552"/>
    </row>
    <row r="25" spans="1:7" s="9" customFormat="1" ht="20.25" customHeight="1" thickBot="1" x14ac:dyDescent="0.3">
      <c r="A25" s="32"/>
      <c r="B25" s="522" t="s">
        <v>14</v>
      </c>
      <c r="C25" s="523"/>
      <c r="D25" s="524"/>
      <c r="E25" s="25" t="str">
        <f>IF((E22)&lt;0,"Ano",IF(E22&lt;((E23+E24)/2),"Ano","Ne"))</f>
        <v>Ne</v>
      </c>
      <c r="F25" s="12"/>
      <c r="G25" s="12"/>
    </row>
    <row r="26" spans="1:7" ht="8.25" customHeight="1" thickBot="1" x14ac:dyDescent="0.3">
      <c r="D26" s="21"/>
      <c r="E26" s="21"/>
    </row>
    <row r="27" spans="1:7" s="9" customFormat="1" ht="20.25" customHeight="1" x14ac:dyDescent="0.25">
      <c r="A27" s="5"/>
      <c r="B27" s="525" t="s">
        <v>318</v>
      </c>
      <c r="C27" s="520" t="s">
        <v>61</v>
      </c>
      <c r="D27" s="520" t="s">
        <v>64</v>
      </c>
      <c r="E27" s="28" t="str">
        <f>IF(OR(D18="kritéria B,C,D",D18="kritéria B,C,D,E"),"RELEVANTNÍ","NERELEVANTNÍ")</f>
        <v>NERELEVANTNÍ</v>
      </c>
      <c r="F27" s="13"/>
    </row>
    <row r="28" spans="1:7" s="9" customFormat="1" ht="20.25" customHeight="1" x14ac:dyDescent="0.25">
      <c r="A28" s="5"/>
      <c r="B28" s="526"/>
      <c r="C28" s="521"/>
      <c r="D28" s="521"/>
      <c r="E28" s="33" t="str">
        <f>IF($D$8&gt;1,$D$8,"")</f>
        <v/>
      </c>
      <c r="F28" s="13"/>
    </row>
    <row r="29" spans="1:7" s="9" customFormat="1" ht="17.25" customHeight="1" x14ac:dyDescent="0.25">
      <c r="A29" s="5"/>
      <c r="B29" s="29" t="s">
        <v>65</v>
      </c>
      <c r="C29" s="30" t="s">
        <v>62</v>
      </c>
      <c r="D29" s="31" t="s">
        <v>5</v>
      </c>
      <c r="E29" s="52">
        <f>'2. Účetnictví'!F35</f>
        <v>0</v>
      </c>
      <c r="F29" s="13"/>
    </row>
    <row r="30" spans="1:7" s="9" customFormat="1" ht="17.25" customHeight="1" x14ac:dyDescent="0.25">
      <c r="A30" s="5"/>
      <c r="B30" s="29" t="s">
        <v>16</v>
      </c>
      <c r="C30" s="30" t="s">
        <v>62</v>
      </c>
      <c r="D30" s="31" t="s">
        <v>8</v>
      </c>
      <c r="E30" s="52">
        <f>'2. Účetnictví'!F36</f>
        <v>0</v>
      </c>
      <c r="F30" s="13"/>
    </row>
    <row r="31" spans="1:7" s="9" customFormat="1" ht="17.25" customHeight="1" x14ac:dyDescent="0.25">
      <c r="A31" s="5"/>
      <c r="B31" s="38" t="s">
        <v>316</v>
      </c>
      <c r="C31" s="39" t="s">
        <v>229</v>
      </c>
      <c r="D31" s="41" t="s">
        <v>229</v>
      </c>
      <c r="E31" s="53">
        <f>'2. Účetnictví'!F37</f>
        <v>0</v>
      </c>
      <c r="F31" s="13"/>
    </row>
    <row r="32" spans="1:7" s="9" customFormat="1" ht="17.25" customHeight="1" thickBot="1" x14ac:dyDescent="0.3">
      <c r="A32" s="5"/>
      <c r="B32" s="450" t="s">
        <v>17</v>
      </c>
      <c r="C32" s="451"/>
      <c r="D32" s="451"/>
      <c r="E32" s="25" t="str">
        <f>IF(AND((E30)&gt;0,E29&gt;0),"Ne",(IF((ABS(E30))&gt;((E29-(E30))/2),"Ano","Ne")))</f>
        <v>Ne</v>
      </c>
      <c r="F32" s="13"/>
    </row>
    <row r="34" spans="2:7" s="9" customFormat="1" ht="20.25" customHeight="1" x14ac:dyDescent="0.25">
      <c r="B34" s="27" t="s">
        <v>102</v>
      </c>
      <c r="C34" s="403" t="s">
        <v>61</v>
      </c>
      <c r="D34" s="403"/>
      <c r="E34" s="28" t="s">
        <v>46</v>
      </c>
      <c r="F34" s="13"/>
      <c r="G34" s="12"/>
    </row>
    <row r="35" spans="2:7" s="9" customFormat="1" ht="17.25" customHeight="1" x14ac:dyDescent="0.25">
      <c r="B35" s="44" t="s">
        <v>323</v>
      </c>
      <c r="C35" s="447" t="s">
        <v>63</v>
      </c>
      <c r="D35" s="447"/>
      <c r="E35" s="54" t="str">
        <f>'2. Účetnictví'!F41</f>
        <v>Vyberte variantu</v>
      </c>
      <c r="F35" s="519" t="s">
        <v>325</v>
      </c>
      <c r="G35" s="519"/>
    </row>
    <row r="36" spans="2:7" s="9" customFormat="1" ht="17.25" customHeight="1" x14ac:dyDescent="0.25">
      <c r="B36" s="44" t="s">
        <v>324</v>
      </c>
      <c r="C36" s="447" t="s">
        <v>69</v>
      </c>
      <c r="D36" s="447"/>
      <c r="E36" s="54" t="str">
        <f>'2. Účetnictví'!F42</f>
        <v>Vyberte variantu</v>
      </c>
      <c r="F36" s="519"/>
      <c r="G36" s="519"/>
    </row>
    <row r="37" spans="2:7" s="9" customFormat="1" ht="17.25" customHeight="1" thickBot="1" x14ac:dyDescent="0.3">
      <c r="B37" s="448" t="s">
        <v>19</v>
      </c>
      <c r="C37" s="449"/>
      <c r="D37" s="449"/>
      <c r="E37" s="25" t="str">
        <f>IF(OR(E35="Ano",E36="Ano"),"Ano","Ne")</f>
        <v>Ne</v>
      </c>
      <c r="F37" s="43" t="s">
        <v>366</v>
      </c>
      <c r="G37" s="12"/>
    </row>
    <row r="38" spans="2:7" s="9" customFormat="1" ht="10.15" customHeight="1" thickBot="1" x14ac:dyDescent="0.3">
      <c r="B38" s="12"/>
      <c r="C38" s="8"/>
      <c r="E38" s="5"/>
      <c r="F38" s="13"/>
      <c r="G38" s="12"/>
    </row>
    <row r="39" spans="2:7" s="9" customFormat="1" ht="20.25" customHeight="1" x14ac:dyDescent="0.25">
      <c r="B39" s="27" t="s">
        <v>103</v>
      </c>
      <c r="C39" s="403" t="s">
        <v>61</v>
      </c>
      <c r="D39" s="403"/>
      <c r="E39" s="28" t="s">
        <v>46</v>
      </c>
      <c r="F39" s="13"/>
      <c r="G39" s="12"/>
    </row>
    <row r="40" spans="2:7" s="9" customFormat="1" ht="32.25" customHeight="1" x14ac:dyDescent="0.25">
      <c r="B40" s="44" t="s">
        <v>517</v>
      </c>
      <c r="C40" s="447" t="s">
        <v>69</v>
      </c>
      <c r="D40" s="447"/>
      <c r="E40" s="54" t="str">
        <f>'2. Účetnictví'!F46</f>
        <v>Vyberte variantu</v>
      </c>
      <c r="F40" s="13"/>
      <c r="G40" s="12"/>
    </row>
    <row r="41" spans="2:7" s="9" customFormat="1" ht="32.25" customHeight="1" x14ac:dyDescent="0.25">
      <c r="B41" s="44" t="s">
        <v>176</v>
      </c>
      <c r="C41" s="447" t="s">
        <v>69</v>
      </c>
      <c r="D41" s="447"/>
      <c r="E41" s="54" t="str">
        <f>'2. Účetnictví'!F47</f>
        <v>Vyberte variantu</v>
      </c>
      <c r="F41" s="13"/>
      <c r="G41" s="12"/>
    </row>
    <row r="42" spans="2:7" s="9" customFormat="1" ht="17.25" customHeight="1" thickBot="1" x14ac:dyDescent="0.3">
      <c r="B42" s="448" t="s">
        <v>20</v>
      </c>
      <c r="C42" s="449"/>
      <c r="D42" s="449"/>
      <c r="E42" s="25" t="str">
        <f>IF(OR(E40="Ano",E41="Ano"),"Ano","Ne")</f>
        <v>Ne</v>
      </c>
      <c r="F42" s="43" t="s">
        <v>366</v>
      </c>
      <c r="G42" s="12"/>
    </row>
    <row r="43" spans="2:7" s="9" customFormat="1" ht="10.15" customHeight="1" thickBot="1" x14ac:dyDescent="0.3">
      <c r="B43" s="12"/>
      <c r="C43" s="8"/>
      <c r="E43" s="5"/>
      <c r="F43" s="13"/>
      <c r="G43" s="12"/>
    </row>
    <row r="44" spans="2:7" s="9" customFormat="1" ht="20.25" customHeight="1" thickBot="1" x14ac:dyDescent="0.3">
      <c r="B44" s="454" t="s">
        <v>104</v>
      </c>
      <c r="C44" s="455"/>
      <c r="D44" s="456"/>
      <c r="E44" s="26" t="str">
        <f>IF(OR(D18="kritéria A,C,D,E",D18="kritéria B,C,D,E",D18="kritéria C,D,E"),"RELEVANTNÍ","NERELEVANTNÍ")</f>
        <v>NERELEVANTNÍ</v>
      </c>
      <c r="F44" s="17"/>
      <c r="G44" s="8"/>
    </row>
    <row r="45" spans="2:7" s="9" customFormat="1" ht="5.25" customHeight="1" thickBot="1" x14ac:dyDescent="0.3">
      <c r="B45" s="12"/>
      <c r="C45" s="8"/>
      <c r="E45" s="21"/>
      <c r="F45" s="21"/>
      <c r="G45" s="8"/>
    </row>
    <row r="46" spans="2:7" s="9" customFormat="1" ht="20.25" customHeight="1" x14ac:dyDescent="0.25">
      <c r="B46" s="22" t="s">
        <v>105</v>
      </c>
      <c r="C46" s="45" t="s">
        <v>61</v>
      </c>
      <c r="D46" s="45" t="s">
        <v>98</v>
      </c>
      <c r="E46" s="23" t="str">
        <f>IF($D$8&gt;1,$D$8,"")</f>
        <v/>
      </c>
      <c r="F46" s="24" t="e">
        <f>IF($D$8&gt;1,$D$8-1,"")</f>
        <v>#VALUE!</v>
      </c>
      <c r="G46" s="8"/>
    </row>
    <row r="47" spans="2:7" s="9" customFormat="1" ht="17.25" customHeight="1" x14ac:dyDescent="0.25">
      <c r="B47" s="18" t="s">
        <v>65</v>
      </c>
      <c r="C47" s="19" t="s">
        <v>62</v>
      </c>
      <c r="D47" s="20" t="s">
        <v>5</v>
      </c>
      <c r="E47" s="51">
        <f>'2. Účetnictví'!F54</f>
        <v>0</v>
      </c>
      <c r="F47" s="52">
        <f>'2. Účetnictví'!G54</f>
        <v>0</v>
      </c>
      <c r="G47" s="8"/>
    </row>
    <row r="48" spans="2:7" s="9" customFormat="1" ht="17.25" customHeight="1" x14ac:dyDescent="0.25">
      <c r="B48" s="18" t="s">
        <v>99</v>
      </c>
      <c r="C48" s="19" t="s">
        <v>62</v>
      </c>
      <c r="D48" s="20" t="s">
        <v>66</v>
      </c>
      <c r="E48" s="51">
        <f>'2. Účetnictví'!F55</f>
        <v>0</v>
      </c>
      <c r="F48" s="52">
        <f>'2. Účetnictví'!G55</f>
        <v>0</v>
      </c>
      <c r="G48" s="8"/>
    </row>
    <row r="49" spans="2:6" s="9" customFormat="1" ht="17.25" customHeight="1" x14ac:dyDescent="0.25">
      <c r="B49" s="407" t="s">
        <v>88</v>
      </c>
      <c r="C49" s="408"/>
      <c r="D49" s="408"/>
      <c r="E49" s="6" t="str">
        <f>IF((E47)=0,"NR",(E48/E47))</f>
        <v>NR</v>
      </c>
      <c r="F49" s="7" t="str">
        <f>IF((F47)=0,"NR",(F48/F47))</f>
        <v>NR</v>
      </c>
    </row>
    <row r="50" spans="2:6" s="9" customFormat="1" ht="17.25" customHeight="1" thickBot="1" x14ac:dyDescent="0.3">
      <c r="B50" s="529" t="s">
        <v>22</v>
      </c>
      <c r="C50" s="530"/>
      <c r="D50" s="531"/>
      <c r="E50" s="10" t="str">
        <f>IF((E47)="0","Ano",IF((E49)&lt;0,"Chyba",IF(E49&gt;7.5,"Ano","Ne")))</f>
        <v>Ano</v>
      </c>
      <c r="F50" s="11" t="str">
        <f>IF((F47)="0","Ano",IF((F49)&lt;0,"Chyba",IF(F49&gt;7.5,"Ano","Ne")))</f>
        <v>Ano</v>
      </c>
    </row>
    <row r="51" spans="2:6" s="9" customFormat="1" ht="5.25" customHeight="1" thickBot="1" x14ac:dyDescent="0.3">
      <c r="B51" s="12"/>
      <c r="C51" s="8"/>
      <c r="E51" s="21"/>
      <c r="F51" s="21"/>
    </row>
    <row r="52" spans="2:6" s="9" customFormat="1" ht="20.25" customHeight="1" x14ac:dyDescent="0.25">
      <c r="B52" s="22" t="s">
        <v>106</v>
      </c>
      <c r="C52" s="45" t="s">
        <v>61</v>
      </c>
      <c r="D52" s="45" t="s">
        <v>98</v>
      </c>
      <c r="E52" s="23" t="str">
        <f>IF($D$8&gt;1,$D$8,"")</f>
        <v/>
      </c>
      <c r="F52" s="24" t="e">
        <f>IF($D$8&gt;1,$D$8-1,"")</f>
        <v>#VALUE!</v>
      </c>
    </row>
    <row r="53" spans="2:6" s="9" customFormat="1" ht="17.25" customHeight="1" x14ac:dyDescent="0.25">
      <c r="B53" s="18" t="s">
        <v>23</v>
      </c>
      <c r="C53" s="19" t="s">
        <v>50</v>
      </c>
      <c r="D53" s="20" t="s">
        <v>67</v>
      </c>
      <c r="E53" s="51">
        <f>'2. Účetnictví'!F61</f>
        <v>0</v>
      </c>
      <c r="F53" s="52">
        <f>'2. Účetnictví'!G61</f>
        <v>0</v>
      </c>
    </row>
    <row r="54" spans="2:6" s="9" customFormat="1" ht="17.25" customHeight="1" x14ac:dyDescent="0.25">
      <c r="B54" s="18" t="s">
        <v>25</v>
      </c>
      <c r="C54" s="19" t="s">
        <v>50</v>
      </c>
      <c r="D54" s="20" t="s">
        <v>68</v>
      </c>
      <c r="E54" s="51">
        <f>'2. Účetnictví'!F62</f>
        <v>0</v>
      </c>
      <c r="F54" s="52">
        <f>'2. Účetnictví'!G62</f>
        <v>0</v>
      </c>
    </row>
    <row r="55" spans="2:6" s="9" customFormat="1" ht="17.25" customHeight="1" x14ac:dyDescent="0.25">
      <c r="B55" s="18" t="s">
        <v>27</v>
      </c>
      <c r="C55" s="19" t="s">
        <v>50</v>
      </c>
      <c r="D55" s="20" t="s">
        <v>37</v>
      </c>
      <c r="E55" s="51">
        <f>'2. Účetnictví'!F63</f>
        <v>0</v>
      </c>
      <c r="F55" s="52">
        <f>'2. Účetnictví'!G63</f>
        <v>0</v>
      </c>
    </row>
    <row r="56" spans="2:6" s="9" customFormat="1" ht="17.25" customHeight="1" x14ac:dyDescent="0.25">
      <c r="B56" s="407" t="s">
        <v>89</v>
      </c>
      <c r="C56" s="408"/>
      <c r="D56" s="408"/>
      <c r="E56" s="6" t="str">
        <f>IF(E54=0,"NR",(E53+E54+E55)/E54)</f>
        <v>NR</v>
      </c>
      <c r="F56" s="7" t="str">
        <f>IF(F54=0,"NR",(F53+F54+F55)/F54)</f>
        <v>NR</v>
      </c>
    </row>
    <row r="57" spans="2:6" s="9" customFormat="1" ht="17.25" customHeight="1" thickBot="1" x14ac:dyDescent="0.3">
      <c r="B57" s="448" t="s">
        <v>107</v>
      </c>
      <c r="C57" s="449"/>
      <c r="D57" s="449"/>
      <c r="E57" s="10" t="str">
        <f>IF((E56)="NR","NR",IF((E56)&lt;1,"Ano","Ne"))</f>
        <v>NR</v>
      </c>
      <c r="F57" s="11" t="str">
        <f>IF((F56)="NR","NR",IF((F56)&lt;1,"Ano","Ne"))</f>
        <v>NR</v>
      </c>
    </row>
    <row r="58" spans="2:6" ht="5.25" customHeight="1" thickBot="1" x14ac:dyDescent="0.3">
      <c r="B58" s="12"/>
      <c r="C58" s="8"/>
      <c r="D58" s="9"/>
    </row>
    <row r="59" spans="2:6" s="9" customFormat="1" ht="20.25" customHeight="1" thickBot="1" x14ac:dyDescent="0.3">
      <c r="B59" s="491" t="s">
        <v>29</v>
      </c>
      <c r="C59" s="492"/>
      <c r="D59" s="492"/>
      <c r="E59" s="14" t="str">
        <f>IF(AND(E50="ANO",F50="Ano",E57="Ano",F57="Ano"),"Ano","Ne")</f>
        <v>Ne</v>
      </c>
      <c r="F59" s="43" t="s">
        <v>366</v>
      </c>
    </row>
    <row r="60" spans="2:6" s="9" customFormat="1" ht="15" customHeight="1" thickBot="1" x14ac:dyDescent="0.3">
      <c r="B60" s="12"/>
      <c r="C60" s="8"/>
      <c r="E60" s="5"/>
      <c r="F60" s="13"/>
    </row>
    <row r="61" spans="2:6" s="9" customFormat="1" ht="32.25" customHeight="1" thickBot="1" x14ac:dyDescent="0.3">
      <c r="B61" s="465" t="s">
        <v>108</v>
      </c>
      <c r="C61" s="466"/>
      <c r="D61" s="467"/>
      <c r="E61" s="16" t="str">
        <f>IF(OR(E25="ANO",E32="Ano",E37="Ano",E42="Ano",E59="Ano"),"Ano","Ne")</f>
        <v>Ne</v>
      </c>
      <c r="F61" s="55"/>
    </row>
  </sheetData>
  <sheetProtection algorithmName="SHA-512" hashValue="SXplfF5kiWcmvqjUGd1FfmhblWJWPVyUgWYCZCaN151xJZDGyEhfmQCk8B1hOmhmd3M/IHTajSsgtAWtKfUu+A==" saltValue="CyiNWN8uhC6OOSTAwXdbPg==" spinCount="100000" sheet="1" objects="1" scenarios="1"/>
  <mergeCells count="49">
    <mergeCell ref="F35:G36"/>
    <mergeCell ref="B13:C13"/>
    <mergeCell ref="D13:F13"/>
    <mergeCell ref="B20:B21"/>
    <mergeCell ref="C20:C21"/>
    <mergeCell ref="D20:D21"/>
    <mergeCell ref="F23:G24"/>
    <mergeCell ref="B11:C11"/>
    <mergeCell ref="B37:D37"/>
    <mergeCell ref="C40:D40"/>
    <mergeCell ref="C34:D34"/>
    <mergeCell ref="C41:D41"/>
    <mergeCell ref="C39:D39"/>
    <mergeCell ref="D11:F11"/>
    <mergeCell ref="D12:F12"/>
    <mergeCell ref="B12:C12"/>
    <mergeCell ref="B14:C14"/>
    <mergeCell ref="D14:F14"/>
    <mergeCell ref="B15:C15"/>
    <mergeCell ref="D15:F15"/>
    <mergeCell ref="B27:B28"/>
    <mergeCell ref="C27:C28"/>
    <mergeCell ref="D27:D28"/>
    <mergeCell ref="B4:C4"/>
    <mergeCell ref="B5:C5"/>
    <mergeCell ref="B6:C6"/>
    <mergeCell ref="B7:C7"/>
    <mergeCell ref="B10:C10"/>
    <mergeCell ref="B8:C8"/>
    <mergeCell ref="B59:D59"/>
    <mergeCell ref="B61:D61"/>
    <mergeCell ref="D18:E18"/>
    <mergeCell ref="B32:D32"/>
    <mergeCell ref="C35:D35"/>
    <mergeCell ref="C36:D36"/>
    <mergeCell ref="B57:D57"/>
    <mergeCell ref="B18:C18"/>
    <mergeCell ref="B49:D49"/>
    <mergeCell ref="B42:D42"/>
    <mergeCell ref="B50:D50"/>
    <mergeCell ref="B56:D56"/>
    <mergeCell ref="B44:D44"/>
    <mergeCell ref="B25:D25"/>
    <mergeCell ref="D10:F10"/>
    <mergeCell ref="D4:F4"/>
    <mergeCell ref="D5:F5"/>
    <mergeCell ref="D6:F6"/>
    <mergeCell ref="D7:F7"/>
    <mergeCell ref="D8:F8"/>
  </mergeCells>
  <conditionalFormatting sqref="A1:A33">
    <cfRule type="beginsWith" dxfId="122" priority="55" operator="beginsWith" text="RE">
      <formula>LEFT(A1,LEN("RE"))="RE"</formula>
    </cfRule>
    <cfRule type="containsText" dxfId="121" priority="56" operator="containsText" text="&quot;RELEVANTNÍ&quot;">
      <formula>NOT(ISERROR(SEARCH("""RELEVANTNÍ""",A1)))</formula>
    </cfRule>
  </conditionalFormatting>
  <conditionalFormatting sqref="A35:A38">
    <cfRule type="beginsWith" dxfId="120" priority="73" operator="beginsWith" text="RE">
      <formula>LEFT(A35,LEN("RE"))="RE"</formula>
    </cfRule>
    <cfRule type="containsText" dxfId="119" priority="74" operator="containsText" text="&quot;RELEVANTNÍ&quot;">
      <formula>NOT(ISERROR(SEARCH("""RELEVANTNÍ""",A35)))</formula>
    </cfRule>
  </conditionalFormatting>
  <conditionalFormatting sqref="A40:A1048576">
    <cfRule type="beginsWith" dxfId="118" priority="34" operator="beginsWith" text="RE">
      <formula>LEFT(A40,LEN("RE"))="RE"</formula>
    </cfRule>
    <cfRule type="containsText" dxfId="117" priority="35" operator="containsText" text="&quot;RELEVANTNÍ&quot;">
      <formula>NOT(ISERROR(SEARCH("""RELEVANTNÍ""",A40)))</formula>
    </cfRule>
  </conditionalFormatting>
  <conditionalFormatting sqref="E18">
    <cfRule type="beginsWith" dxfId="116" priority="66" operator="beginsWith" text="RE">
      <formula>LEFT(E18,LEN("RE"))="RE"</formula>
    </cfRule>
  </conditionalFormatting>
  <conditionalFormatting sqref="E20:E21">
    <cfRule type="beginsWith" dxfId="115" priority="10" operator="beginsWith" text="RE">
      <formula>LEFT(E20,LEN("RE"))="RE"</formula>
    </cfRule>
  </conditionalFormatting>
  <conditionalFormatting sqref="E22:E24">
    <cfRule type="expression" dxfId="114" priority="11">
      <formula>$E$20="NERELEVANTNÍ"</formula>
    </cfRule>
  </conditionalFormatting>
  <conditionalFormatting sqref="E23:E25">
    <cfRule type="beginsWith" dxfId="113" priority="12" operator="beginsWith" text="RE">
      <formula>LEFT(E23,LEN("RE"))="RE"</formula>
    </cfRule>
  </conditionalFormatting>
  <conditionalFormatting sqref="E25">
    <cfRule type="containsText" dxfId="112" priority="13" operator="containsText" text="Ne">
      <formula>NOT(ISERROR(SEARCH("Ne",E25)))</formula>
    </cfRule>
    <cfRule type="containsText" dxfId="111" priority="14" operator="containsText" text="Ano">
      <formula>NOT(ISERROR(SEARCH("Ano",E25)))</formula>
    </cfRule>
  </conditionalFormatting>
  <conditionalFormatting sqref="E28">
    <cfRule type="beginsWith" dxfId="110" priority="19" operator="beginsWith" text="RE">
      <formula>LEFT(E28,LEN("RE"))="RE"</formula>
    </cfRule>
  </conditionalFormatting>
  <conditionalFormatting sqref="E29:E31">
    <cfRule type="expression" dxfId="109" priority="46">
      <formula>$E$27="NERELEVANTNÍ"</formula>
    </cfRule>
    <cfRule type="beginsWith" dxfId="108" priority="47" operator="beginsWith" text="RE">
      <formula>LEFT(E29,LEN("RE"))="RE"</formula>
    </cfRule>
  </conditionalFormatting>
  <conditionalFormatting sqref="E32 E37 E42 E59 E61">
    <cfRule type="containsText" dxfId="107" priority="78" operator="containsText" text="Ano">
      <formula>NOT(ISERROR(SEARCH("Ano",E32)))</formula>
    </cfRule>
  </conditionalFormatting>
  <conditionalFormatting sqref="E32 E42 E37 E59 E61">
    <cfRule type="containsText" dxfId="106" priority="77" operator="containsText" text="Ne">
      <formula>NOT(ISERROR(SEARCH("Ne",E32)))</formula>
    </cfRule>
  </conditionalFormatting>
  <conditionalFormatting sqref="E1:F3 E9:F9 E17:F17 B19:E19 F19:F22 F25 E26:F27 F28:F31 E32:F34 E42">
    <cfRule type="beginsWith" dxfId="105" priority="72" operator="beginsWith" text="RE">
      <formula>LEFT(B1,LEN("RE"))="RE"</formula>
    </cfRule>
  </conditionalFormatting>
  <conditionalFormatting sqref="E14:F15">
    <cfRule type="beginsWith" dxfId="104" priority="28" operator="beginsWith" text="RE">
      <formula>LEFT(E14,LEN("RE"))="RE"</formula>
    </cfRule>
  </conditionalFormatting>
  <conditionalFormatting sqref="E37:F39">
    <cfRule type="beginsWith" dxfId="103" priority="4" operator="beginsWith" text="RE">
      <formula>LEFT(E37,LEN("RE"))="RE"</formula>
    </cfRule>
  </conditionalFormatting>
  <conditionalFormatting sqref="E43:F46">
    <cfRule type="beginsWith" dxfId="102" priority="18" operator="beginsWith" text="RE">
      <formula>LEFT(E43,LEN("RE"))="RE"</formula>
    </cfRule>
  </conditionalFormatting>
  <conditionalFormatting sqref="E47:F48">
    <cfRule type="expression" dxfId="101" priority="40">
      <formula>$E$44="NERELEVANTNÍ"</formula>
    </cfRule>
  </conditionalFormatting>
  <conditionalFormatting sqref="E47:F49">
    <cfRule type="beginsWith" dxfId="100" priority="41" operator="beginsWith" text="RE">
      <formula>LEFT(E47,LEN("RE"))="RE"</formula>
    </cfRule>
  </conditionalFormatting>
  <conditionalFormatting sqref="E50:F52">
    <cfRule type="beginsWith" dxfId="99" priority="17" operator="beginsWith" text="RE">
      <formula>LEFT(E50,LEN("RE"))="RE"</formula>
    </cfRule>
  </conditionalFormatting>
  <conditionalFormatting sqref="E53:F55">
    <cfRule type="expression" dxfId="98" priority="36">
      <formula>$E$44="NERELEVANTNÍ"</formula>
    </cfRule>
  </conditionalFormatting>
  <conditionalFormatting sqref="E53:F58">
    <cfRule type="beginsWith" dxfId="97" priority="37" operator="beginsWith" text="RE">
      <formula>LEFT(E53,LEN("RE"))="RE"</formula>
    </cfRule>
  </conditionalFormatting>
  <conditionalFormatting sqref="E59:F1048576">
    <cfRule type="beginsWith" dxfId="96" priority="1" operator="beginsWith" text="RE">
      <formula>LEFT(E59,LEN("RE"))="RE"</formula>
    </cfRule>
  </conditionalFormatting>
  <conditionalFormatting sqref="F35">
    <cfRule type="beginsWith" dxfId="95" priority="8" operator="beginsWith" text="RE">
      <formula>LEFT(F35,LEN("RE"))="RE"</formula>
    </cfRule>
  </conditionalFormatting>
  <conditionalFormatting sqref="F40:F42">
    <cfRule type="beginsWith" dxfId="94" priority="3" operator="beginsWith" text="RE">
      <formula>LEFT(F40,LEN("RE"))="RE"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'typy žadatelů'!$B$78:$B$80</xm:f>
          </x14:formula1>
          <xm:sqref>D15:F15</xm:sqref>
        </x14:dataValidation>
        <x14:dataValidation type="list" allowBlank="1" showInputMessage="1" showErrorMessage="1" xr:uid="{00000000-0002-0000-0C00-000001000000}">
          <x14:formula1>
            <xm:f>'typy žadatelů'!$D$29:$D$60</xm:f>
          </x14:formula1>
          <xm:sqref>D14:F14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
    <tabColor theme="4" tint="-0.249977111117893"/>
    <pageSetUpPr fitToPage="1"/>
  </sheetPr>
  <dimension ref="A1:AM180"/>
  <sheetViews>
    <sheetView showGridLines="0" zoomScale="90" zoomScaleNormal="90" workbookViewId="0">
      <selection activeCell="E11" sqref="E11:G11"/>
    </sheetView>
  </sheetViews>
  <sheetFormatPr defaultColWidth="11" defaultRowHeight="15.75" x14ac:dyDescent="0.25"/>
  <cols>
    <col min="1" max="1" width="5.75" style="21" customWidth="1"/>
    <col min="2" max="2" width="59.875" style="13" customWidth="1"/>
    <col min="3" max="3" width="11.125" style="13" customWidth="1"/>
    <col min="4" max="4" width="10.375" style="5" customWidth="1"/>
    <col min="5" max="5" width="15.5" style="5" customWidth="1"/>
    <col min="6" max="6" width="15.5" style="13" customWidth="1"/>
    <col min="7" max="7" width="13.5" style="12" customWidth="1"/>
    <col min="8" max="11" width="13.5" style="9" customWidth="1"/>
    <col min="12" max="13" width="13.5" style="5" customWidth="1"/>
    <col min="14" max="14" width="5.75" style="5" customWidth="1"/>
    <col min="15" max="15" width="20" hidden="1" customWidth="1"/>
    <col min="16" max="16" width="14.75" hidden="1" customWidth="1"/>
    <col min="17" max="17" width="25.25" hidden="1" customWidth="1"/>
    <col min="18" max="18" width="21" hidden="1" customWidth="1"/>
    <col min="19" max="19" width="38.875" style="21" hidden="1" customWidth="1"/>
    <col min="20" max="20" width="57.75" hidden="1" customWidth="1"/>
    <col min="21" max="21" width="19.25" style="5" hidden="1" customWidth="1"/>
    <col min="22" max="22" width="12" style="5" hidden="1" customWidth="1"/>
    <col min="23" max="23" width="26.625" style="5" hidden="1" customWidth="1"/>
    <col min="24" max="24" width="17.625" style="5" hidden="1" customWidth="1"/>
    <col min="25" max="25" width="17.375" style="5" hidden="1" customWidth="1"/>
    <col min="26" max="31" width="12" style="5" hidden="1" customWidth="1"/>
    <col min="32" max="32" width="13.125" style="5" hidden="1" customWidth="1"/>
    <col min="33" max="33" width="13.25" style="5" hidden="1" customWidth="1"/>
    <col min="34" max="35" width="12" style="5" hidden="1" customWidth="1"/>
    <col min="36" max="36" width="8.625" style="5" hidden="1" customWidth="1"/>
    <col min="37" max="37" width="21.875" style="5" hidden="1" customWidth="1"/>
    <col min="38" max="38" width="18.25" style="5" customWidth="1"/>
    <col min="39" max="39" width="21.75" style="5" customWidth="1"/>
    <col min="40" max="41" width="11" style="5"/>
    <col min="42" max="42" width="11.75" style="5" customWidth="1"/>
    <col min="43" max="43" width="21.625" style="5" customWidth="1"/>
    <col min="44" max="16384" width="11" style="5"/>
  </cols>
  <sheetData>
    <row r="1" spans="1:20" ht="20.25" customHeight="1" x14ac:dyDescent="0.25"/>
    <row r="2" spans="1:20" ht="24.75" customHeight="1" x14ac:dyDescent="0.25">
      <c r="B2" s="143" t="s">
        <v>427</v>
      </c>
      <c r="C2" s="144"/>
    </row>
    <row r="3" spans="1:20" ht="28.9" customHeight="1" x14ac:dyDescent="0.25">
      <c r="B3" s="43"/>
      <c r="C3" s="47"/>
    </row>
    <row r="4" spans="1:20" ht="7.15" customHeight="1" thickBot="1" x14ac:dyDescent="0.3"/>
    <row r="5" spans="1:20" ht="25.5" customHeight="1" x14ac:dyDescent="0.25">
      <c r="A5" s="32" t="s">
        <v>74</v>
      </c>
      <c r="B5" s="640" t="s">
        <v>80</v>
      </c>
      <c r="C5" s="641"/>
      <c r="D5" s="641"/>
      <c r="E5" s="630" t="str">
        <f>Výpočty!L4</f>
        <v>Nejprve vyplňte předchozí list za žadatele.</v>
      </c>
      <c r="F5" s="630"/>
      <c r="G5" s="631"/>
      <c r="H5" s="43" t="str">
        <f>IF(E5="Duplicitní zápis NÁZVU na předchozích listech!","Opravte!","")</f>
        <v/>
      </c>
    </row>
    <row r="6" spans="1:20" hidden="1" x14ac:dyDescent="0.25">
      <c r="B6" s="424" t="s">
        <v>0</v>
      </c>
      <c r="C6" s="413"/>
      <c r="D6" s="632"/>
      <c r="E6" s="632"/>
      <c r="F6" s="632"/>
      <c r="G6" s="145"/>
    </row>
    <row r="7" spans="1:20" ht="25.5" customHeight="1" x14ac:dyDescent="0.25">
      <c r="B7" s="424" t="s">
        <v>1</v>
      </c>
      <c r="C7" s="413"/>
      <c r="D7" s="413"/>
      <c r="E7" s="633" t="str">
        <f>Výpočty!L10</f>
        <v>Nejprve vyplňte předchozí list za žadatele.</v>
      </c>
      <c r="F7" s="633"/>
      <c r="G7" s="634"/>
      <c r="H7" s="43" t="str">
        <f>IF(E7="Duplicitní zápis IČ na předchozích listech!","Opravte!","")</f>
        <v/>
      </c>
    </row>
    <row r="8" spans="1:20" ht="27" hidden="1" customHeight="1" x14ac:dyDescent="0.25">
      <c r="B8" s="645" t="s">
        <v>498</v>
      </c>
      <c r="C8" s="646"/>
      <c r="D8" s="647"/>
      <c r="E8" s="633" t="str">
        <f>Výpočty!L22</f>
        <v>Nejprve vyplňte předchozí list za žadatele.</v>
      </c>
      <c r="F8" s="633"/>
      <c r="G8" s="634"/>
    </row>
    <row r="9" spans="1:20" ht="25.5" customHeight="1" thickBot="1" x14ac:dyDescent="0.3">
      <c r="B9" s="461" t="s">
        <v>247</v>
      </c>
      <c r="C9" s="462"/>
      <c r="D9" s="462"/>
      <c r="E9" s="638" t="str">
        <f>Výpočty!L16</f>
        <v>Nejprve vyplňte předchozí list za žadatele.</v>
      </c>
      <c r="F9" s="638"/>
      <c r="G9" s="639"/>
      <c r="H9" s="43" t="str">
        <f>IF(E9="Duplicitní zápis ROKU na předchozích listech!","Opravte!","")</f>
        <v/>
      </c>
    </row>
    <row r="10" spans="1:20" ht="12.6" customHeight="1" thickBot="1" x14ac:dyDescent="0.3">
      <c r="B10" s="720"/>
      <c r="C10" s="720"/>
      <c r="D10" s="720"/>
      <c r="E10" s="720"/>
      <c r="F10" s="720"/>
      <c r="G10" s="720"/>
    </row>
    <row r="11" spans="1:20" ht="28.5" customHeight="1" x14ac:dyDescent="0.25">
      <c r="A11" s="32" t="s">
        <v>75</v>
      </c>
      <c r="B11" s="642" t="s">
        <v>369</v>
      </c>
      <c r="C11" s="643"/>
      <c r="D11" s="644"/>
      <c r="E11" s="635" t="s">
        <v>71</v>
      </c>
      <c r="F11" s="636"/>
      <c r="G11" s="637"/>
      <c r="H11" s="146" t="s">
        <v>492</v>
      </c>
      <c r="T11" s="72" t="s">
        <v>464</v>
      </c>
    </row>
    <row r="12" spans="1:20" ht="31.15" hidden="1" customHeight="1" x14ac:dyDescent="0.25">
      <c r="B12" s="147" t="s">
        <v>253</v>
      </c>
      <c r="C12" s="148"/>
      <c r="D12" s="149"/>
      <c r="E12" s="416" t="str">
        <f>IF(E11="ANO","Ano","Ne")</f>
        <v>Ne</v>
      </c>
      <c r="F12" s="416"/>
      <c r="G12" s="417"/>
      <c r="T12" s="70"/>
    </row>
    <row r="13" spans="1:20" s="9" customFormat="1" ht="38.25" customHeight="1" x14ac:dyDescent="0.25">
      <c r="A13" s="21"/>
      <c r="B13" s="459" t="s">
        <v>373</v>
      </c>
      <c r="C13" s="460"/>
      <c r="D13" s="460"/>
      <c r="E13" s="416" t="s">
        <v>71</v>
      </c>
      <c r="F13" s="416"/>
      <c r="G13" s="417"/>
      <c r="L13" s="5"/>
      <c r="M13" s="5"/>
      <c r="O13"/>
      <c r="P13"/>
      <c r="Q13"/>
      <c r="R13"/>
      <c r="S13" s="15"/>
      <c r="T13" s="150">
        <f>IF(AND(E11="Ano",E13="Ano"),1,0)</f>
        <v>0</v>
      </c>
    </row>
    <row r="14" spans="1:20" s="9" customFormat="1" ht="43.9" hidden="1" customHeight="1" x14ac:dyDescent="0.25">
      <c r="A14" s="21"/>
      <c r="B14" s="424" t="s">
        <v>238</v>
      </c>
      <c r="C14" s="413"/>
      <c r="D14" s="413"/>
      <c r="E14" s="416" t="s">
        <v>2</v>
      </c>
      <c r="F14" s="416"/>
      <c r="G14" s="417"/>
      <c r="L14" s="5"/>
      <c r="M14" s="5"/>
      <c r="O14"/>
      <c r="P14"/>
      <c r="Q14"/>
      <c r="R14"/>
      <c r="S14" s="15"/>
    </row>
    <row r="15" spans="1:20" s="9" customFormat="1" ht="43.9" hidden="1" customHeight="1" x14ac:dyDescent="0.25">
      <c r="A15" s="21"/>
      <c r="B15" s="424" t="s">
        <v>237</v>
      </c>
      <c r="C15" s="413"/>
      <c r="D15" s="413"/>
      <c r="E15" s="416" t="s">
        <v>2</v>
      </c>
      <c r="F15" s="416"/>
      <c r="G15" s="417"/>
      <c r="L15" s="5"/>
      <c r="M15" s="5"/>
      <c r="O15"/>
      <c r="P15"/>
      <c r="Q15"/>
      <c r="R15"/>
      <c r="S15" s="15"/>
    </row>
    <row r="16" spans="1:20" s="9" customFormat="1" ht="45.6" hidden="1" customHeight="1" thickBot="1" x14ac:dyDescent="0.3">
      <c r="A16" s="21"/>
      <c r="B16" s="459" t="s">
        <v>178</v>
      </c>
      <c r="C16" s="460"/>
      <c r="D16" s="151"/>
      <c r="E16" s="416" t="s">
        <v>71</v>
      </c>
      <c r="F16" s="416"/>
      <c r="G16" s="417"/>
      <c r="L16" s="5"/>
      <c r="M16" s="5"/>
      <c r="O16"/>
      <c r="P16"/>
      <c r="Q16"/>
      <c r="R16"/>
      <c r="S16" s="15"/>
    </row>
    <row r="17" spans="1:39" s="9" customFormat="1" ht="27.75" customHeight="1" thickBot="1" x14ac:dyDescent="0.3">
      <c r="A17" s="21"/>
      <c r="B17" s="461" t="s">
        <v>345</v>
      </c>
      <c r="C17" s="462"/>
      <c r="D17" s="462"/>
      <c r="E17" s="433" t="s">
        <v>71</v>
      </c>
      <c r="F17" s="433"/>
      <c r="G17" s="434"/>
      <c r="L17" s="5"/>
      <c r="M17" s="5"/>
      <c r="N17" s="5"/>
      <c r="O17"/>
      <c r="P17"/>
      <c r="Q17"/>
      <c r="R17"/>
      <c r="S17" s="21"/>
      <c r="T17" s="152" t="s">
        <v>462</v>
      </c>
    </row>
    <row r="18" spans="1:39" s="9" customFormat="1" ht="34.5" customHeight="1" thickBot="1" x14ac:dyDescent="0.3">
      <c r="A18" s="21"/>
      <c r="B18" s="719"/>
      <c r="C18" s="719"/>
      <c r="D18" s="719"/>
      <c r="E18" s="719"/>
      <c r="F18" s="719"/>
      <c r="G18" s="719"/>
      <c r="H18" s="43"/>
      <c r="L18" s="5"/>
      <c r="M18" s="5"/>
      <c r="N18" s="5"/>
      <c r="O18"/>
      <c r="P18"/>
      <c r="Q18"/>
      <c r="R18"/>
      <c r="S18" s="21"/>
      <c r="T18" s="153" t="s">
        <v>519</v>
      </c>
    </row>
    <row r="19" spans="1:39" s="9" customFormat="1" ht="24" customHeight="1" x14ac:dyDescent="0.25">
      <c r="A19" s="21"/>
      <c r="B19" s="724" t="s">
        <v>420</v>
      </c>
      <c r="C19" s="725"/>
      <c r="D19" s="725"/>
      <c r="E19" s="725"/>
      <c r="F19" s="725"/>
      <c r="G19" s="726"/>
      <c r="H19" s="154"/>
      <c r="I19" s="740" t="s">
        <v>520</v>
      </c>
      <c r="J19" s="741"/>
      <c r="K19" s="741"/>
      <c r="L19" s="741"/>
      <c r="M19" s="742"/>
      <c r="N19" s="5"/>
      <c r="O19"/>
      <c r="P19"/>
      <c r="Q19"/>
      <c r="R19"/>
      <c r="S19" s="21"/>
      <c r="T19" s="153" t="s">
        <v>470</v>
      </c>
    </row>
    <row r="20" spans="1:39" s="9" customFormat="1" ht="63.75" customHeight="1" x14ac:dyDescent="0.25">
      <c r="A20" s="21"/>
      <c r="B20" s="721" t="str">
        <f>IF(AND(E11="Ano",E13="Ano"),T19,T18)</f>
        <v>Níže uvedené tabulky (část III.) představují ruční konsolidaci účetních závěrek podniků ve skupině (ve smyslu "jeden podnik"). Rozsah této skupiny by se měl překrývat s vymezením "propojených podniků" dle čl. 3 Přílohy I GBER – Definice MSP (viz Příloha MSP). Pokud mezi subjekty vymezenými v MSP jsou i "partnerské podniky", tyto podniky se nepovažují za skupinu (ve smyslu "jeden podnik"), proto nebudou níže v tabulkách uvedeny.</v>
      </c>
      <c r="C20" s="722"/>
      <c r="D20" s="722"/>
      <c r="E20" s="722"/>
      <c r="F20" s="722"/>
      <c r="G20" s="723"/>
      <c r="H20" s="154"/>
      <c r="I20" s="743"/>
      <c r="J20" s="744"/>
      <c r="K20" s="744"/>
      <c r="L20" s="744"/>
      <c r="M20" s="745"/>
      <c r="N20" s="5"/>
      <c r="O20"/>
      <c r="P20"/>
      <c r="Q20"/>
      <c r="R20"/>
      <c r="S20" s="21"/>
      <c r="T20" s="152" t="s">
        <v>463</v>
      </c>
    </row>
    <row r="21" spans="1:39" s="9" customFormat="1" ht="23.25" customHeight="1" x14ac:dyDescent="0.25">
      <c r="A21" s="21"/>
      <c r="B21" s="727" t="s">
        <v>425</v>
      </c>
      <c r="C21" s="728"/>
      <c r="D21" s="728"/>
      <c r="E21" s="728"/>
      <c r="F21" s="728"/>
      <c r="G21" s="729"/>
      <c r="H21" s="43"/>
      <c r="I21" s="743"/>
      <c r="J21" s="744"/>
      <c r="K21" s="744"/>
      <c r="L21" s="744"/>
      <c r="M21" s="745"/>
      <c r="N21" s="5"/>
      <c r="O21"/>
      <c r="P21"/>
      <c r="Q21"/>
      <c r="R21"/>
      <c r="S21" s="21"/>
      <c r="T21" s="153" t="s">
        <v>428</v>
      </c>
      <c r="U21" s="150" t="s">
        <v>430</v>
      </c>
      <c r="V21" s="150" t="s">
        <v>426</v>
      </c>
      <c r="W21" s="150"/>
    </row>
    <row r="22" spans="1:39" s="9" customFormat="1" ht="18" customHeight="1" x14ac:dyDescent="0.25">
      <c r="A22" s="21"/>
      <c r="B22" s="721" t="str">
        <f>IF(AND(E11="Ano",E13="Ano"),"Do níže zobrazených bílých polí vyplňte pouze názvy podniků a datumy vzniku. Rozdělení do tabulek (A, B, A/B) není zásadní!","Do krytérií (část III.) se vpisují údaje za celou skupinu podniků následujícím způsobem:")</f>
        <v>Do krytérií (část III.) se vpisují údaje za celou skupinu podniků následujícím způsobem:</v>
      </c>
      <c r="C22" s="722"/>
      <c r="D22" s="722"/>
      <c r="E22" s="722"/>
      <c r="F22" s="722"/>
      <c r="G22" s="723"/>
      <c r="H22" s="154"/>
      <c r="I22" s="743"/>
      <c r="J22" s="744"/>
      <c r="K22" s="744"/>
      <c r="L22" s="744"/>
      <c r="M22" s="745"/>
      <c r="N22" s="5"/>
      <c r="O22"/>
      <c r="P22"/>
      <c r="Q22"/>
      <c r="R22"/>
      <c r="S22" s="21"/>
      <c r="T22" s="155"/>
    </row>
    <row r="23" spans="1:39" s="9" customFormat="1" ht="32.25" customHeight="1" x14ac:dyDescent="0.25">
      <c r="A23" s="21"/>
      <c r="B23" s="721" t="str">
        <f>IF(AND(E11="Ano",E13="Ano"),"Příklad: Alfa s.r.o., vznik 1.8.2023.","1) Na první místo (do jedné z tabulek, podle typu právní formy) vložte vždy název žadatele a doplňte patřičná data – má-li žadatel údaje z konsolidované účetní závěrky s dalšími podniky, vložte rovnou data z konsolidované účetní závěrky,")</f>
        <v>1) Na první místo (do jedné z tabulek, podle typu právní formy) vložte vždy název žadatele a doplňte patřičná data – má-li žadatel údaje z konsolidované účetní závěrky s dalšími podniky, vložte rovnou data z konsolidované účetní závěrky,</v>
      </c>
      <c r="C23" s="722"/>
      <c r="D23" s="722"/>
      <c r="E23" s="722"/>
      <c r="F23" s="722"/>
      <c r="G23" s="723"/>
      <c r="I23" s="743"/>
      <c r="J23" s="744"/>
      <c r="K23" s="744"/>
      <c r="L23" s="744"/>
      <c r="M23" s="745"/>
      <c r="N23" s="5"/>
      <c r="O23"/>
      <c r="P23"/>
      <c r="Q23"/>
      <c r="R23"/>
      <c r="S23" s="21"/>
      <c r="T23" s="155"/>
    </row>
    <row r="24" spans="1:39" s="9" customFormat="1" ht="16.5" customHeight="1" x14ac:dyDescent="0.25">
      <c r="A24" s="21"/>
      <c r="B24" s="721" t="str">
        <f>IF(AND(E11="Ano",E13="Ano"),"","2) Na další místa v pořadí uveďte údaje za jednotlivé podniky patřící do skupiny.")</f>
        <v>2) Na další místa v pořadí uveďte údaje za jednotlivé podniky patřící do skupiny.</v>
      </c>
      <c r="C24" s="722"/>
      <c r="D24" s="722"/>
      <c r="E24" s="722"/>
      <c r="F24" s="722"/>
      <c r="G24" s="723"/>
      <c r="I24" s="743"/>
      <c r="J24" s="744"/>
      <c r="K24" s="744"/>
      <c r="L24" s="744"/>
      <c r="M24" s="745"/>
      <c r="N24" s="5"/>
      <c r="O24"/>
      <c r="P24"/>
      <c r="Q24"/>
      <c r="R24"/>
      <c r="S24" s="21"/>
      <c r="T24" s="155"/>
    </row>
    <row r="25" spans="1:39" s="9" customFormat="1" ht="5.25" customHeight="1" thickBot="1" x14ac:dyDescent="0.3">
      <c r="A25" s="21"/>
      <c r="B25" s="730"/>
      <c r="C25" s="731"/>
      <c r="D25" s="731"/>
      <c r="E25" s="731"/>
      <c r="F25" s="731"/>
      <c r="G25" s="732"/>
      <c r="I25" s="746"/>
      <c r="J25" s="747"/>
      <c r="K25" s="747"/>
      <c r="L25" s="747"/>
      <c r="M25" s="748"/>
      <c r="N25" s="5"/>
      <c r="O25"/>
      <c r="P25"/>
      <c r="Q25"/>
      <c r="R25"/>
      <c r="S25" s="21"/>
      <c r="T25" s="155"/>
    </row>
    <row r="26" spans="1:39" s="9" customFormat="1" ht="33.75" customHeight="1" x14ac:dyDescent="0.25">
      <c r="A26" s="21"/>
      <c r="B26" s="156"/>
      <c r="C26" s="155"/>
      <c r="D26" s="155"/>
      <c r="E26" s="155"/>
      <c r="F26" s="155"/>
      <c r="G26" s="12"/>
      <c r="L26" s="5"/>
      <c r="M26" s="5"/>
      <c r="N26" s="5"/>
      <c r="O26"/>
      <c r="P26"/>
      <c r="Q26"/>
      <c r="R26"/>
      <c r="S26" s="21"/>
      <c r="T26" s="155"/>
    </row>
    <row r="27" spans="1:39" s="9" customFormat="1" ht="27" customHeight="1" x14ac:dyDescent="0.25">
      <c r="A27" s="21"/>
      <c r="B27" s="157" t="s">
        <v>500</v>
      </c>
      <c r="C27" s="13"/>
      <c r="D27" s="158"/>
      <c r="E27" s="156"/>
      <c r="F27" s="155"/>
      <c r="L27" s="5"/>
      <c r="M27" s="5"/>
      <c r="N27" s="5"/>
      <c r="O27"/>
      <c r="P27"/>
      <c r="Q27"/>
      <c r="R27"/>
      <c r="S27" s="21"/>
      <c r="T27" s="152" t="s">
        <v>432</v>
      </c>
    </row>
    <row r="28" spans="1:39" s="9" customFormat="1" ht="27.75" customHeight="1" thickBot="1" x14ac:dyDescent="0.3">
      <c r="A28" s="159"/>
      <c r="B28" s="160"/>
      <c r="C28" s="160"/>
      <c r="D28" s="161"/>
      <c r="E28" s="161"/>
      <c r="F28" s="160"/>
      <c r="G28" s="162"/>
      <c r="H28" s="163"/>
      <c r="I28" s="163"/>
      <c r="J28" s="163"/>
      <c r="K28" s="163"/>
      <c r="L28" s="163"/>
      <c r="M28" s="163"/>
      <c r="N28" s="163"/>
      <c r="O28"/>
      <c r="P28"/>
      <c r="Q28"/>
      <c r="R28"/>
      <c r="S28" s="164"/>
      <c r="T28" s="165" t="str">
        <f>Výpočty!B61</f>
        <v>Chyba v části I.</v>
      </c>
    </row>
    <row r="29" spans="1:39" ht="31.15" customHeight="1" x14ac:dyDescent="0.25">
      <c r="A29" s="648" t="s">
        <v>421</v>
      </c>
      <c r="B29" s="668" t="s">
        <v>370</v>
      </c>
      <c r="C29" s="670" t="str">
        <f>IF(AND(E11="Ano",E13="Ano"),"","Podniky, které vedou účetnictví, s omezeným ručením společníků, které zároveň mají základní kapitál nebo minimální kapitálový požadavek (typicky s.r.o.)")</f>
        <v>Podniky, které vedou účetnictví, s omezeným ručením společníků, které zároveň mají základní kapitál nebo minimální kapitálový požadavek (typicky s.r.o.)</v>
      </c>
      <c r="D29" s="670"/>
      <c r="E29" s="670"/>
      <c r="F29" s="670"/>
      <c r="G29" s="670"/>
      <c r="H29" s="670"/>
      <c r="I29" s="670"/>
      <c r="J29" s="670"/>
      <c r="K29" s="670"/>
      <c r="L29" s="670"/>
      <c r="M29" s="671"/>
      <c r="N29" s="161"/>
      <c r="S29" s="164"/>
      <c r="T29" s="152" t="s">
        <v>433</v>
      </c>
    </row>
    <row r="30" spans="1:39" ht="31.15" customHeight="1" thickBot="1" x14ac:dyDescent="0.3">
      <c r="A30" s="648"/>
      <c r="B30" s="669"/>
      <c r="C30" s="672"/>
      <c r="D30" s="672"/>
      <c r="E30" s="672"/>
      <c r="F30" s="672"/>
      <c r="G30" s="672"/>
      <c r="H30" s="672"/>
      <c r="I30" s="672"/>
      <c r="J30" s="672"/>
      <c r="K30" s="672"/>
      <c r="L30" s="672"/>
      <c r="M30" s="673"/>
      <c r="N30" s="161"/>
      <c r="S30" s="164"/>
      <c r="T30" s="165" t="str">
        <f>Výpočty!B62</f>
        <v>Chyba v části I.</v>
      </c>
      <c r="AM30" s="167" t="s">
        <v>429</v>
      </c>
    </row>
    <row r="31" spans="1:39" s="9" customFormat="1" ht="20.25" customHeight="1" x14ac:dyDescent="0.25">
      <c r="A31" s="648"/>
      <c r="B31" s="592" t="str">
        <f>IF(T13=1,"Obchodní jméno podniku + datum vzniku","Obchodní jméno podniku")</f>
        <v>Obchodní jméno podniku</v>
      </c>
      <c r="C31" s="653" t="s">
        <v>502</v>
      </c>
      <c r="D31" s="654"/>
      <c r="E31" s="588" t="s">
        <v>505</v>
      </c>
      <c r="F31" s="588"/>
      <c r="G31" s="588"/>
      <c r="H31" s="588"/>
      <c r="I31" s="588"/>
      <c r="J31" s="168"/>
      <c r="K31" s="674" t="s">
        <v>87</v>
      </c>
      <c r="L31" s="675"/>
      <c r="M31" s="676"/>
      <c r="N31" s="161"/>
      <c r="O31"/>
      <c r="P31"/>
      <c r="Q31"/>
      <c r="R31"/>
      <c r="S31" s="164"/>
      <c r="T31"/>
    </row>
    <row r="32" spans="1:39" s="9" customFormat="1" ht="60" customHeight="1" x14ac:dyDescent="0.25">
      <c r="A32" s="648"/>
      <c r="B32" s="657"/>
      <c r="C32" s="655"/>
      <c r="D32" s="656"/>
      <c r="E32" s="169" t="s">
        <v>15</v>
      </c>
      <c r="F32" s="170" t="s">
        <v>30</v>
      </c>
      <c r="G32" s="170" t="s">
        <v>72</v>
      </c>
      <c r="H32" s="170" t="s">
        <v>83</v>
      </c>
      <c r="I32" s="170" t="s">
        <v>81</v>
      </c>
      <c r="J32" s="170" t="s">
        <v>99</v>
      </c>
      <c r="K32" s="171" t="s">
        <v>23</v>
      </c>
      <c r="L32" s="171" t="s">
        <v>25</v>
      </c>
      <c r="M32" s="172" t="s">
        <v>82</v>
      </c>
      <c r="N32" s="163"/>
      <c r="O32"/>
      <c r="P32"/>
      <c r="Q32" s="580" t="s">
        <v>482</v>
      </c>
      <c r="R32" s="581"/>
      <c r="S32"/>
      <c r="T32"/>
      <c r="X32" s="489" t="s">
        <v>436</v>
      </c>
      <c r="Y32" s="489" t="s">
        <v>437</v>
      </c>
      <c r="Z32" s="553" t="s">
        <v>440</v>
      </c>
      <c r="AA32" s="553" t="s">
        <v>441</v>
      </c>
      <c r="AB32" s="554" t="s">
        <v>444</v>
      </c>
      <c r="AC32" s="554" t="s">
        <v>445</v>
      </c>
      <c r="AD32" s="555" t="s">
        <v>448</v>
      </c>
      <c r="AE32" s="555" t="s">
        <v>449</v>
      </c>
      <c r="AF32" s="591" t="s">
        <v>452</v>
      </c>
      <c r="AG32" s="591" t="s">
        <v>453</v>
      </c>
      <c r="AH32" s="12"/>
    </row>
    <row r="33" spans="1:34" ht="20.100000000000001" customHeight="1" thickBot="1" x14ac:dyDescent="0.3">
      <c r="A33" s="648"/>
      <c r="B33" s="658" t="s">
        <v>419</v>
      </c>
      <c r="C33" s="659"/>
      <c r="D33" s="660"/>
      <c r="E33" s="649" t="s">
        <v>261</v>
      </c>
      <c r="F33" s="649"/>
      <c r="G33" s="649"/>
      <c r="H33" s="649"/>
      <c r="I33" s="649"/>
      <c r="J33" s="649"/>
      <c r="K33" s="649"/>
      <c r="L33" s="649"/>
      <c r="M33" s="650"/>
      <c r="N33" s="163"/>
      <c r="O33" s="173" t="s">
        <v>486</v>
      </c>
      <c r="P33" s="173" t="s">
        <v>487</v>
      </c>
      <c r="Q33" s="174" t="s">
        <v>478</v>
      </c>
      <c r="R33" s="174" t="s">
        <v>479</v>
      </c>
      <c r="T33" s="152" t="s">
        <v>408</v>
      </c>
      <c r="V33" s="175" t="s">
        <v>434</v>
      </c>
      <c r="W33" s="5" t="s">
        <v>435</v>
      </c>
      <c r="X33" s="489"/>
      <c r="Y33" s="489"/>
      <c r="Z33" s="553"/>
      <c r="AA33" s="553"/>
      <c r="AB33" s="554"/>
      <c r="AC33" s="554"/>
      <c r="AD33" s="555"/>
      <c r="AE33" s="555"/>
      <c r="AF33" s="591"/>
      <c r="AG33" s="591"/>
      <c r="AH33" s="13"/>
    </row>
    <row r="34" spans="1:34" s="21" customFormat="1" ht="15.6" customHeight="1" x14ac:dyDescent="0.25">
      <c r="A34" s="648"/>
      <c r="B34" s="280" t="s">
        <v>507</v>
      </c>
      <c r="C34" s="738"/>
      <c r="D34" s="739"/>
      <c r="E34" s="281"/>
      <c r="F34" s="282"/>
      <c r="G34" s="283"/>
      <c r="H34" s="577" t="s">
        <v>84</v>
      </c>
      <c r="I34" s="577"/>
      <c r="J34" s="282"/>
      <c r="K34" s="282"/>
      <c r="L34" s="282"/>
      <c r="M34" s="288"/>
      <c r="N34" s="159"/>
      <c r="O34" s="70">
        <f>IF(OR(E34&lt;&gt;0,F34&lt;&gt;0,G34&lt;&gt;0,J34&lt;&gt;0,K34&lt;&gt;0,L34&lt;&gt;0,M34&lt;&gt;0),1,0)</f>
        <v>0</v>
      </c>
      <c r="P34" s="70">
        <f>IF(AND(C34="",O34=1),1,0)</f>
        <v>0</v>
      </c>
      <c r="Q34" s="70">
        <f>IF(C34=$T$28,1,0)</f>
        <v>0</v>
      </c>
      <c r="R34" s="70">
        <f>IF(C34=$T$30,1,0)</f>
        <v>0</v>
      </c>
      <c r="S34"/>
      <c r="T34" s="70" t="b">
        <v>1</v>
      </c>
      <c r="V34" s="176" t="str">
        <f t="shared" ref="V34:V43" si="0">B34</f>
        <v>Podnik 1.</v>
      </c>
      <c r="W34" s="21">
        <f t="shared" ref="W34:W43" si="1">IF(C34="",0,IF(C34=$T$28,0,1))</f>
        <v>0</v>
      </c>
      <c r="X34" s="70">
        <f t="shared" ref="X34:X43" si="2">IF(C34=$T$28,E34,0)</f>
        <v>0</v>
      </c>
      <c r="Y34" s="70">
        <f t="shared" ref="Y34:Y43" si="3">IF(C34=$T$30,E34,0)</f>
        <v>0</v>
      </c>
      <c r="Z34" s="70">
        <f t="shared" ref="Z34:Z43" si="4">IF(C34=$T$28,E34,0)</f>
        <v>0</v>
      </c>
      <c r="AA34" s="70">
        <f t="shared" ref="AA34:AA43" si="5">IF(C34=$T$30,J34,0)</f>
        <v>0</v>
      </c>
      <c r="AB34" s="70">
        <f t="shared" ref="AB34:AB43" si="6">IF(C34=$T$28,K34,0)</f>
        <v>0</v>
      </c>
      <c r="AC34" s="70">
        <f t="shared" ref="AC34:AC43" si="7">IF(C34=$T$30,K34,0)</f>
        <v>0</v>
      </c>
      <c r="AD34" s="70">
        <f t="shared" ref="AD34:AD43" si="8">IF(C34=$T$28,L34,0)</f>
        <v>0</v>
      </c>
      <c r="AE34" s="70">
        <f t="shared" ref="AE34:AE43" si="9">IF(C34=$T$30,L34,0)</f>
        <v>0</v>
      </c>
      <c r="AF34" s="70">
        <f t="shared" ref="AF34:AF43" si="10">IF(C34=$T$28,M34,0)</f>
        <v>0</v>
      </c>
      <c r="AG34" s="177">
        <f t="shared" ref="AG34:AG43" si="11">IF(C34=$T$30,M34,0)</f>
        <v>0</v>
      </c>
    </row>
    <row r="35" spans="1:34" s="21" customFormat="1" ht="15.6" customHeight="1" x14ac:dyDescent="0.25">
      <c r="A35" s="648"/>
      <c r="B35" s="284" t="s">
        <v>508</v>
      </c>
      <c r="C35" s="601"/>
      <c r="D35" s="602"/>
      <c r="E35" s="285"/>
      <c r="F35" s="4"/>
      <c r="G35" s="286"/>
      <c r="H35" s="578"/>
      <c r="I35" s="578"/>
      <c r="J35" s="289"/>
      <c r="K35" s="289"/>
      <c r="L35" s="1"/>
      <c r="M35" s="2"/>
      <c r="N35" s="159"/>
      <c r="O35" s="70">
        <f t="shared" ref="O35:O43" si="12">IF(OR(E35&lt;&gt;0,F35&lt;&gt;0,G35&lt;&gt;0,J35&lt;&gt;0,K35&lt;&gt;0,L35&lt;&gt;0,M35&lt;&gt;0),1,0)</f>
        <v>0</v>
      </c>
      <c r="P35" s="70">
        <f t="shared" ref="P35:P43" si="13">IF(AND(C35="",O35=1),1,0)</f>
        <v>0</v>
      </c>
      <c r="Q35" s="70">
        <f t="shared" ref="Q35:Q43" si="14">IF(C35=$T$28,1,0)</f>
        <v>0</v>
      </c>
      <c r="R35" s="70">
        <f t="shared" ref="R35:R43" si="15">IF(C35=$T$30,1,0)</f>
        <v>0</v>
      </c>
      <c r="S35"/>
      <c r="T35" s="70" t="b">
        <v>1</v>
      </c>
      <c r="V35" s="176" t="str">
        <f t="shared" si="0"/>
        <v>Podnik 2.</v>
      </c>
      <c r="W35" s="21">
        <f t="shared" si="1"/>
        <v>0</v>
      </c>
      <c r="X35" s="70">
        <f t="shared" si="2"/>
        <v>0</v>
      </c>
      <c r="Y35" s="70">
        <f t="shared" si="3"/>
        <v>0</v>
      </c>
      <c r="Z35" s="70">
        <f t="shared" si="4"/>
        <v>0</v>
      </c>
      <c r="AA35" s="70">
        <f t="shared" si="5"/>
        <v>0</v>
      </c>
      <c r="AB35" s="70">
        <f t="shared" si="6"/>
        <v>0</v>
      </c>
      <c r="AC35" s="70">
        <f t="shared" si="7"/>
        <v>0</v>
      </c>
      <c r="AD35" s="70">
        <f t="shared" si="8"/>
        <v>0</v>
      </c>
      <c r="AE35" s="70">
        <f t="shared" si="9"/>
        <v>0</v>
      </c>
      <c r="AF35" s="70">
        <f t="shared" si="10"/>
        <v>0</v>
      </c>
      <c r="AG35" s="177">
        <f t="shared" si="11"/>
        <v>0</v>
      </c>
    </row>
    <row r="36" spans="1:34" s="21" customFormat="1" ht="15.6" customHeight="1" x14ac:dyDescent="0.25">
      <c r="A36" s="648"/>
      <c r="B36" s="284" t="s">
        <v>509</v>
      </c>
      <c r="C36" s="601"/>
      <c r="D36" s="602"/>
      <c r="E36" s="285"/>
      <c r="F36" s="4"/>
      <c r="G36" s="286"/>
      <c r="H36" s="578"/>
      <c r="I36" s="578"/>
      <c r="J36" s="289"/>
      <c r="K36" s="289"/>
      <c r="L36" s="1"/>
      <c r="M36" s="2"/>
      <c r="N36" s="159"/>
      <c r="O36" s="70">
        <f t="shared" si="12"/>
        <v>0</v>
      </c>
      <c r="P36" s="70">
        <f t="shared" si="13"/>
        <v>0</v>
      </c>
      <c r="Q36" s="70">
        <f t="shared" si="14"/>
        <v>0</v>
      </c>
      <c r="R36" s="70">
        <f t="shared" si="15"/>
        <v>0</v>
      </c>
      <c r="S36"/>
      <c r="T36" s="70" t="b">
        <v>1</v>
      </c>
      <c r="V36" s="176" t="str">
        <f t="shared" si="0"/>
        <v>Podnik 3.</v>
      </c>
      <c r="W36" s="21">
        <f t="shared" si="1"/>
        <v>0</v>
      </c>
      <c r="X36" s="70">
        <f t="shared" si="2"/>
        <v>0</v>
      </c>
      <c r="Y36" s="70">
        <f t="shared" si="3"/>
        <v>0</v>
      </c>
      <c r="Z36" s="70">
        <f t="shared" si="4"/>
        <v>0</v>
      </c>
      <c r="AA36" s="70">
        <f t="shared" si="5"/>
        <v>0</v>
      </c>
      <c r="AB36" s="70">
        <f t="shared" si="6"/>
        <v>0</v>
      </c>
      <c r="AC36" s="70">
        <f t="shared" si="7"/>
        <v>0</v>
      </c>
      <c r="AD36" s="70">
        <f t="shared" si="8"/>
        <v>0</v>
      </c>
      <c r="AE36" s="70">
        <f t="shared" si="9"/>
        <v>0</v>
      </c>
      <c r="AF36" s="70">
        <f t="shared" si="10"/>
        <v>0</v>
      </c>
      <c r="AG36" s="177">
        <f t="shared" si="11"/>
        <v>0</v>
      </c>
    </row>
    <row r="37" spans="1:34" s="21" customFormat="1" ht="15.6" customHeight="1" x14ac:dyDescent="0.25">
      <c r="A37" s="648"/>
      <c r="B37" s="284" t="s">
        <v>510</v>
      </c>
      <c r="C37" s="601"/>
      <c r="D37" s="602"/>
      <c r="E37" s="285"/>
      <c r="F37" s="4"/>
      <c r="G37" s="286"/>
      <c r="H37" s="578"/>
      <c r="I37" s="578"/>
      <c r="J37" s="289"/>
      <c r="K37" s="289"/>
      <c r="L37" s="1"/>
      <c r="M37" s="2"/>
      <c r="N37" s="159"/>
      <c r="O37" s="70">
        <f t="shared" si="12"/>
        <v>0</v>
      </c>
      <c r="P37" s="70">
        <f t="shared" si="13"/>
        <v>0</v>
      </c>
      <c r="Q37" s="70">
        <f t="shared" si="14"/>
        <v>0</v>
      </c>
      <c r="R37" s="70">
        <f t="shared" si="15"/>
        <v>0</v>
      </c>
      <c r="S37"/>
      <c r="T37" s="70" t="b">
        <v>1</v>
      </c>
      <c r="V37" s="176" t="str">
        <f t="shared" si="0"/>
        <v>Podnik 4.</v>
      </c>
      <c r="W37" s="21">
        <f t="shared" si="1"/>
        <v>0</v>
      </c>
      <c r="X37" s="70">
        <f t="shared" si="2"/>
        <v>0</v>
      </c>
      <c r="Y37" s="70">
        <f t="shared" si="3"/>
        <v>0</v>
      </c>
      <c r="Z37" s="70">
        <f t="shared" si="4"/>
        <v>0</v>
      </c>
      <c r="AA37" s="70">
        <f t="shared" si="5"/>
        <v>0</v>
      </c>
      <c r="AB37" s="70">
        <f t="shared" si="6"/>
        <v>0</v>
      </c>
      <c r="AC37" s="70">
        <f t="shared" si="7"/>
        <v>0</v>
      </c>
      <c r="AD37" s="70">
        <f t="shared" si="8"/>
        <v>0</v>
      </c>
      <c r="AE37" s="70">
        <f t="shared" si="9"/>
        <v>0</v>
      </c>
      <c r="AF37" s="70">
        <f t="shared" si="10"/>
        <v>0</v>
      </c>
      <c r="AG37" s="177">
        <f t="shared" si="11"/>
        <v>0</v>
      </c>
    </row>
    <row r="38" spans="1:34" s="21" customFormat="1" ht="15.6" customHeight="1" x14ac:dyDescent="0.25">
      <c r="A38" s="648"/>
      <c r="B38" s="284" t="s">
        <v>511</v>
      </c>
      <c r="C38" s="601"/>
      <c r="D38" s="602"/>
      <c r="E38" s="285"/>
      <c r="F38" s="4"/>
      <c r="G38" s="286"/>
      <c r="H38" s="578"/>
      <c r="I38" s="578"/>
      <c r="J38" s="289"/>
      <c r="K38" s="289"/>
      <c r="L38" s="1"/>
      <c r="M38" s="2"/>
      <c r="N38" s="159"/>
      <c r="O38" s="70">
        <f t="shared" si="12"/>
        <v>0</v>
      </c>
      <c r="P38" s="70">
        <f t="shared" si="13"/>
        <v>0</v>
      </c>
      <c r="Q38" s="70">
        <f t="shared" si="14"/>
        <v>0</v>
      </c>
      <c r="R38" s="70">
        <f t="shared" si="15"/>
        <v>0</v>
      </c>
      <c r="S38"/>
      <c r="T38" s="70" t="b">
        <v>1</v>
      </c>
      <c r="V38" s="176" t="str">
        <f t="shared" si="0"/>
        <v>Podnik 5.</v>
      </c>
      <c r="W38" s="21">
        <f t="shared" si="1"/>
        <v>0</v>
      </c>
      <c r="X38" s="70">
        <f t="shared" si="2"/>
        <v>0</v>
      </c>
      <c r="Y38" s="70">
        <f t="shared" si="3"/>
        <v>0</v>
      </c>
      <c r="Z38" s="70">
        <f t="shared" si="4"/>
        <v>0</v>
      </c>
      <c r="AA38" s="70">
        <f t="shared" si="5"/>
        <v>0</v>
      </c>
      <c r="AB38" s="70">
        <f t="shared" si="6"/>
        <v>0</v>
      </c>
      <c r="AC38" s="70">
        <f t="shared" si="7"/>
        <v>0</v>
      </c>
      <c r="AD38" s="70">
        <f t="shared" si="8"/>
        <v>0</v>
      </c>
      <c r="AE38" s="70">
        <f t="shared" si="9"/>
        <v>0</v>
      </c>
      <c r="AF38" s="70">
        <f t="shared" si="10"/>
        <v>0</v>
      </c>
      <c r="AG38" s="177">
        <f t="shared" si="11"/>
        <v>0</v>
      </c>
    </row>
    <row r="39" spans="1:34" s="21" customFormat="1" ht="15.6" customHeight="1" x14ac:dyDescent="0.25">
      <c r="A39" s="648"/>
      <c r="B39" s="284" t="s">
        <v>512</v>
      </c>
      <c r="C39" s="601"/>
      <c r="D39" s="602"/>
      <c r="E39" s="285"/>
      <c r="F39" s="4"/>
      <c r="G39" s="286"/>
      <c r="H39" s="578"/>
      <c r="I39" s="578"/>
      <c r="J39" s="289"/>
      <c r="K39" s="289"/>
      <c r="L39" s="1"/>
      <c r="M39" s="2"/>
      <c r="N39" s="159"/>
      <c r="O39" s="70">
        <f t="shared" si="12"/>
        <v>0</v>
      </c>
      <c r="P39" s="70">
        <f t="shared" si="13"/>
        <v>0</v>
      </c>
      <c r="Q39" s="70">
        <f>IF(C39=$T$28,1,0)</f>
        <v>0</v>
      </c>
      <c r="R39" s="70">
        <f t="shared" si="15"/>
        <v>0</v>
      </c>
      <c r="S39"/>
      <c r="T39" s="70" t="b">
        <v>1</v>
      </c>
      <c r="V39" s="176" t="str">
        <f t="shared" si="0"/>
        <v>Podnik 6.</v>
      </c>
      <c r="W39" s="21">
        <f t="shared" si="1"/>
        <v>0</v>
      </c>
      <c r="X39" s="70">
        <f t="shared" si="2"/>
        <v>0</v>
      </c>
      <c r="Y39" s="70">
        <f t="shared" si="3"/>
        <v>0</v>
      </c>
      <c r="Z39" s="70">
        <f t="shared" si="4"/>
        <v>0</v>
      </c>
      <c r="AA39" s="70">
        <f t="shared" si="5"/>
        <v>0</v>
      </c>
      <c r="AB39" s="70">
        <f t="shared" si="6"/>
        <v>0</v>
      </c>
      <c r="AC39" s="70">
        <f t="shared" si="7"/>
        <v>0</v>
      </c>
      <c r="AD39" s="70">
        <f t="shared" si="8"/>
        <v>0</v>
      </c>
      <c r="AE39" s="70">
        <f t="shared" si="9"/>
        <v>0</v>
      </c>
      <c r="AF39" s="70">
        <f t="shared" si="10"/>
        <v>0</v>
      </c>
      <c r="AG39" s="177">
        <f t="shared" si="11"/>
        <v>0</v>
      </c>
    </row>
    <row r="40" spans="1:34" s="21" customFormat="1" ht="15.6" customHeight="1" x14ac:dyDescent="0.25">
      <c r="A40" s="648"/>
      <c r="B40" s="284" t="s">
        <v>513</v>
      </c>
      <c r="C40" s="601"/>
      <c r="D40" s="602"/>
      <c r="E40" s="285"/>
      <c r="F40" s="4"/>
      <c r="G40" s="286"/>
      <c r="H40" s="578"/>
      <c r="I40" s="578"/>
      <c r="J40" s="289"/>
      <c r="K40" s="289"/>
      <c r="L40" s="1"/>
      <c r="M40" s="2"/>
      <c r="N40" s="159"/>
      <c r="O40" s="70">
        <f t="shared" si="12"/>
        <v>0</v>
      </c>
      <c r="P40" s="70">
        <f t="shared" si="13"/>
        <v>0</v>
      </c>
      <c r="Q40" s="70">
        <f>IF(C40=$T$28,1,0)</f>
        <v>0</v>
      </c>
      <c r="R40" s="70">
        <f t="shared" si="15"/>
        <v>0</v>
      </c>
      <c r="S40"/>
      <c r="T40" s="70" t="b">
        <v>0</v>
      </c>
      <c r="V40" s="176" t="str">
        <f t="shared" si="0"/>
        <v>Podnik 7.</v>
      </c>
      <c r="W40" s="21">
        <f t="shared" si="1"/>
        <v>0</v>
      </c>
      <c r="X40" s="70">
        <f t="shared" si="2"/>
        <v>0</v>
      </c>
      <c r="Y40" s="70">
        <f t="shared" si="3"/>
        <v>0</v>
      </c>
      <c r="Z40" s="70">
        <f t="shared" si="4"/>
        <v>0</v>
      </c>
      <c r="AA40" s="70">
        <f t="shared" si="5"/>
        <v>0</v>
      </c>
      <c r="AB40" s="70">
        <f t="shared" si="6"/>
        <v>0</v>
      </c>
      <c r="AC40" s="70">
        <f t="shared" si="7"/>
        <v>0</v>
      </c>
      <c r="AD40" s="70">
        <f t="shared" si="8"/>
        <v>0</v>
      </c>
      <c r="AE40" s="70">
        <f t="shared" si="9"/>
        <v>0</v>
      </c>
      <c r="AF40" s="70">
        <f t="shared" si="10"/>
        <v>0</v>
      </c>
      <c r="AG40" s="177">
        <f t="shared" si="11"/>
        <v>0</v>
      </c>
    </row>
    <row r="41" spans="1:34" s="21" customFormat="1" ht="15.6" customHeight="1" x14ac:dyDescent="0.25">
      <c r="A41" s="648"/>
      <c r="B41" s="284" t="s">
        <v>514</v>
      </c>
      <c r="C41" s="601"/>
      <c r="D41" s="602"/>
      <c r="E41" s="285"/>
      <c r="F41" s="4"/>
      <c r="G41" s="286"/>
      <c r="H41" s="578"/>
      <c r="I41" s="578"/>
      <c r="J41" s="289"/>
      <c r="K41" s="289"/>
      <c r="L41" s="1"/>
      <c r="M41" s="2"/>
      <c r="N41" s="159"/>
      <c r="O41" s="70">
        <f t="shared" si="12"/>
        <v>0</v>
      </c>
      <c r="P41" s="70">
        <f t="shared" si="13"/>
        <v>0</v>
      </c>
      <c r="Q41" s="70">
        <f t="shared" si="14"/>
        <v>0</v>
      </c>
      <c r="R41" s="70">
        <f t="shared" si="15"/>
        <v>0</v>
      </c>
      <c r="S41"/>
      <c r="T41" s="70" t="b">
        <v>0</v>
      </c>
      <c r="V41" s="176" t="str">
        <f t="shared" si="0"/>
        <v>Podnik 8.</v>
      </c>
      <c r="W41" s="21">
        <f t="shared" si="1"/>
        <v>0</v>
      </c>
      <c r="X41" s="70">
        <f t="shared" si="2"/>
        <v>0</v>
      </c>
      <c r="Y41" s="70">
        <f t="shared" si="3"/>
        <v>0</v>
      </c>
      <c r="Z41" s="70">
        <f t="shared" si="4"/>
        <v>0</v>
      </c>
      <c r="AA41" s="70">
        <f t="shared" si="5"/>
        <v>0</v>
      </c>
      <c r="AB41" s="70">
        <f t="shared" si="6"/>
        <v>0</v>
      </c>
      <c r="AC41" s="70">
        <f t="shared" si="7"/>
        <v>0</v>
      </c>
      <c r="AD41" s="70">
        <f t="shared" si="8"/>
        <v>0</v>
      </c>
      <c r="AE41" s="70">
        <f t="shared" si="9"/>
        <v>0</v>
      </c>
      <c r="AF41" s="70">
        <f t="shared" si="10"/>
        <v>0</v>
      </c>
      <c r="AG41" s="177">
        <f t="shared" si="11"/>
        <v>0</v>
      </c>
    </row>
    <row r="42" spans="1:34" s="21" customFormat="1" ht="15.6" customHeight="1" x14ac:dyDescent="0.25">
      <c r="A42" s="648"/>
      <c r="B42" s="284" t="s">
        <v>515</v>
      </c>
      <c r="C42" s="601"/>
      <c r="D42" s="602"/>
      <c r="E42" s="285"/>
      <c r="F42" s="4"/>
      <c r="G42" s="286"/>
      <c r="H42" s="578"/>
      <c r="I42" s="578"/>
      <c r="J42" s="289"/>
      <c r="K42" s="289"/>
      <c r="L42" s="1"/>
      <c r="M42" s="2"/>
      <c r="N42" s="159"/>
      <c r="O42" s="70">
        <f t="shared" si="12"/>
        <v>0</v>
      </c>
      <c r="P42" s="70">
        <f t="shared" si="13"/>
        <v>0</v>
      </c>
      <c r="Q42" s="70">
        <f t="shared" si="14"/>
        <v>0</v>
      </c>
      <c r="R42" s="70">
        <f t="shared" si="15"/>
        <v>0</v>
      </c>
      <c r="S42"/>
      <c r="T42" s="70" t="b">
        <v>1</v>
      </c>
      <c r="V42" s="176" t="str">
        <f t="shared" si="0"/>
        <v>Podnik 9.</v>
      </c>
      <c r="W42" s="21">
        <f t="shared" si="1"/>
        <v>0</v>
      </c>
      <c r="X42" s="70">
        <f t="shared" si="2"/>
        <v>0</v>
      </c>
      <c r="Y42" s="70">
        <f t="shared" si="3"/>
        <v>0</v>
      </c>
      <c r="Z42" s="70">
        <f t="shared" si="4"/>
        <v>0</v>
      </c>
      <c r="AA42" s="70">
        <f t="shared" si="5"/>
        <v>0</v>
      </c>
      <c r="AB42" s="70">
        <f t="shared" si="6"/>
        <v>0</v>
      </c>
      <c r="AC42" s="70">
        <f t="shared" si="7"/>
        <v>0</v>
      </c>
      <c r="AD42" s="70">
        <f t="shared" si="8"/>
        <v>0</v>
      </c>
      <c r="AE42" s="70">
        <f t="shared" si="9"/>
        <v>0</v>
      </c>
      <c r="AF42" s="70">
        <f t="shared" si="10"/>
        <v>0</v>
      </c>
      <c r="AG42" s="177">
        <f t="shared" si="11"/>
        <v>0</v>
      </c>
    </row>
    <row r="43" spans="1:34" s="21" customFormat="1" ht="15.6" customHeight="1" x14ac:dyDescent="0.25">
      <c r="A43" s="648"/>
      <c r="B43" s="287" t="s">
        <v>516</v>
      </c>
      <c r="C43" s="601"/>
      <c r="D43" s="602"/>
      <c r="E43" s="285"/>
      <c r="F43" s="4"/>
      <c r="G43" s="286"/>
      <c r="H43" s="578"/>
      <c r="I43" s="578"/>
      <c r="J43" s="289"/>
      <c r="K43" s="289"/>
      <c r="L43" s="1"/>
      <c r="M43" s="2"/>
      <c r="N43" s="159"/>
      <c r="O43" s="70">
        <f t="shared" si="12"/>
        <v>0</v>
      </c>
      <c r="P43" s="70">
        <f t="shared" si="13"/>
        <v>0</v>
      </c>
      <c r="Q43" s="70">
        <f t="shared" si="14"/>
        <v>0</v>
      </c>
      <c r="R43" s="70">
        <f t="shared" si="15"/>
        <v>0</v>
      </c>
      <c r="T43" s="70" t="b">
        <v>1</v>
      </c>
      <c r="V43" s="176" t="str">
        <f t="shared" si="0"/>
        <v>Podnik 10.</v>
      </c>
      <c r="W43" s="21">
        <f t="shared" si="1"/>
        <v>0</v>
      </c>
      <c r="X43" s="70">
        <f t="shared" si="2"/>
        <v>0</v>
      </c>
      <c r="Y43" s="70">
        <f t="shared" si="3"/>
        <v>0</v>
      </c>
      <c r="Z43" s="70">
        <f t="shared" si="4"/>
        <v>0</v>
      </c>
      <c r="AA43" s="70">
        <f t="shared" si="5"/>
        <v>0</v>
      </c>
      <c r="AB43" s="70">
        <f t="shared" si="6"/>
        <v>0</v>
      </c>
      <c r="AC43" s="70">
        <f t="shared" si="7"/>
        <v>0</v>
      </c>
      <c r="AD43" s="70">
        <f t="shared" si="8"/>
        <v>0</v>
      </c>
      <c r="AE43" s="70">
        <f t="shared" si="9"/>
        <v>0</v>
      </c>
      <c r="AF43" s="70">
        <f t="shared" si="10"/>
        <v>0</v>
      </c>
      <c r="AG43" s="177">
        <f t="shared" si="11"/>
        <v>0</v>
      </c>
    </row>
    <row r="44" spans="1:34" s="21" customFormat="1" ht="15.6" customHeight="1" thickBot="1" x14ac:dyDescent="0.3">
      <c r="A44" s="648"/>
      <c r="B44" s="735" t="s">
        <v>73</v>
      </c>
      <c r="C44" s="736"/>
      <c r="D44" s="737"/>
      <c r="E44" s="178">
        <f>SUM(E34:E43)</f>
        <v>0</v>
      </c>
      <c r="F44" s="179">
        <f>SUM(F34:F43)</f>
        <v>0</v>
      </c>
      <c r="G44" s="179">
        <f>SUM(G34:G43)</f>
        <v>0</v>
      </c>
      <c r="H44" s="579"/>
      <c r="I44" s="579"/>
      <c r="J44" s="179">
        <f>SUM(J34:J43)</f>
        <v>0</v>
      </c>
      <c r="K44" s="179">
        <f>SUM(K34:K43)</f>
        <v>0</v>
      </c>
      <c r="L44" s="179">
        <f>SUM(L34:L43)</f>
        <v>0</v>
      </c>
      <c r="M44" s="180">
        <f>SUM(M34:M43)</f>
        <v>0</v>
      </c>
      <c r="N44" s="159"/>
      <c r="O44"/>
      <c r="P44" s="181">
        <f>SUM(P34:P43)</f>
        <v>0</v>
      </c>
      <c r="Q44"/>
      <c r="R44"/>
      <c r="S44"/>
      <c r="T44" s="182">
        <f>T34+T35+T36+T37+T38+T39+T40+T41+T42+T43</f>
        <v>8</v>
      </c>
    </row>
    <row r="45" spans="1:34" ht="16.5" thickBot="1" x14ac:dyDescent="0.3">
      <c r="A45" s="648"/>
      <c r="B45" s="160"/>
      <c r="C45" s="582" t="str">
        <f>IF(P44&gt;0,"Ve výše uvedené tabulce je nutné vybrat rok!","")</f>
        <v/>
      </c>
      <c r="D45" s="582"/>
      <c r="E45" s="582"/>
      <c r="F45" s="582"/>
      <c r="G45" s="582"/>
      <c r="H45" s="163"/>
      <c r="I45" s="163"/>
      <c r="J45" s="163"/>
      <c r="K45" s="163"/>
      <c r="L45" s="161"/>
      <c r="M45" s="161"/>
      <c r="N45" s="161"/>
      <c r="S45"/>
      <c r="T45" s="152" t="s">
        <v>409</v>
      </c>
    </row>
    <row r="46" spans="1:34" ht="20.25" customHeight="1" x14ac:dyDescent="0.25">
      <c r="A46" s="648"/>
      <c r="B46" s="598" t="str">
        <f>IF($E$12="ANO","NEVYPLŇUJE SE. (Tuto tabulku vyplňuje pouze VELKÝ podnikatel.)","Obchodní jméno podniku")</f>
        <v>Obchodní jméno podniku</v>
      </c>
      <c r="C46" s="571" t="s">
        <v>403</v>
      </c>
      <c r="D46" s="572"/>
      <c r="E46" s="651" t="s">
        <v>86</v>
      </c>
      <c r="F46" s="652"/>
      <c r="G46" s="652"/>
      <c r="H46" s="652"/>
      <c r="I46" s="652"/>
      <c r="J46" s="652"/>
      <c r="K46" s="675" t="s">
        <v>87</v>
      </c>
      <c r="L46" s="675"/>
      <c r="M46" s="676"/>
      <c r="N46" s="161"/>
      <c r="S46"/>
    </row>
    <row r="47" spans="1:34" ht="60" customHeight="1" x14ac:dyDescent="0.25">
      <c r="A47" s="648"/>
      <c r="B47" s="599"/>
      <c r="C47" s="573"/>
      <c r="D47" s="574"/>
      <c r="E47" s="183" t="s">
        <v>15</v>
      </c>
      <c r="F47" s="184" t="s">
        <v>30</v>
      </c>
      <c r="G47" s="184" t="s">
        <v>72</v>
      </c>
      <c r="H47" s="184" t="s">
        <v>83</v>
      </c>
      <c r="I47" s="184" t="s">
        <v>81</v>
      </c>
      <c r="J47" s="184" t="s">
        <v>99</v>
      </c>
      <c r="K47" s="171" t="s">
        <v>23</v>
      </c>
      <c r="L47" s="171" t="s">
        <v>25</v>
      </c>
      <c r="M47" s="172" t="s">
        <v>82</v>
      </c>
      <c r="N47" s="161"/>
      <c r="S47"/>
    </row>
    <row r="48" spans="1:34" ht="17.25" customHeight="1" thickBot="1" x14ac:dyDescent="0.3">
      <c r="A48" s="648"/>
      <c r="B48" s="600"/>
      <c r="C48" s="575"/>
      <c r="D48" s="576"/>
      <c r="E48" s="606" t="str">
        <f>E33</f>
        <v>Uveďte údaje z konsolidované účetní závěrky, je-li k dispozici.</v>
      </c>
      <c r="F48" s="607"/>
      <c r="G48" s="607"/>
      <c r="H48" s="607"/>
      <c r="I48" s="607"/>
      <c r="J48" s="607"/>
      <c r="K48" s="607"/>
      <c r="L48" s="607"/>
      <c r="M48" s="608"/>
      <c r="N48" s="161"/>
      <c r="S48"/>
      <c r="T48" s="155"/>
    </row>
    <row r="49" spans="1:36" ht="15.6" customHeight="1" x14ac:dyDescent="0.25">
      <c r="A49" s="648"/>
      <c r="B49" s="185" t="str">
        <f>IF(B34="Podnik 1.","Vyplní se automaticky",IF(B34="","",B34))</f>
        <v>Vyplní se automaticky</v>
      </c>
      <c r="C49" s="567" t="str">
        <f>IF(C34&gt;20,C34-1,"Vyplní se automaticky")</f>
        <v>Vyplní se automaticky</v>
      </c>
      <c r="D49" s="568"/>
      <c r="E49" s="290"/>
      <c r="F49" s="617" t="s">
        <v>84</v>
      </c>
      <c r="G49" s="661"/>
      <c r="H49" s="661"/>
      <c r="I49" s="618"/>
      <c r="J49" s="289"/>
      <c r="K49" s="289"/>
      <c r="L49" s="1"/>
      <c r="M49" s="2"/>
      <c r="N49" s="161"/>
      <c r="S49"/>
      <c r="T49" s="155"/>
      <c r="X49"/>
      <c r="Y49" s="70">
        <f t="shared" ref="Y49:Y58" si="16">IF(C49=$T$30,E49,0)</f>
        <v>0</v>
      </c>
      <c r="AA49" s="186">
        <f t="shared" ref="AA49:AA58" si="17">IF(C49=$T$30,J49,0)</f>
        <v>0</v>
      </c>
      <c r="AC49" s="186">
        <f t="shared" ref="AC49:AC58" si="18">IF(C49=$T$30,K49,0)</f>
        <v>0</v>
      </c>
      <c r="AE49" s="186">
        <f t="shared" ref="AE49:AE58" si="19">IF(C49=$T$30,L49,0)</f>
        <v>0</v>
      </c>
      <c r="AG49" s="186">
        <f t="shared" ref="AG49:AG58" si="20">IF(C49=$T$30,M49,0)</f>
        <v>0</v>
      </c>
    </row>
    <row r="50" spans="1:36" ht="15.6" customHeight="1" x14ac:dyDescent="0.25">
      <c r="A50" s="648"/>
      <c r="B50" s="185" t="str">
        <f>IF(OR(B35="Podnik 2.",B35=""),"",B35)</f>
        <v/>
      </c>
      <c r="C50" s="569" t="str">
        <f>IF(C35&gt;20,C35-1,"")</f>
        <v/>
      </c>
      <c r="D50" s="570"/>
      <c r="E50" s="290"/>
      <c r="F50" s="662"/>
      <c r="G50" s="663"/>
      <c r="H50" s="663"/>
      <c r="I50" s="664"/>
      <c r="J50" s="289"/>
      <c r="K50" s="289"/>
      <c r="L50" s="1"/>
      <c r="M50" s="2"/>
      <c r="N50" s="161"/>
      <c r="S50"/>
      <c r="T50" s="155"/>
      <c r="X50"/>
      <c r="Y50" s="70">
        <f t="shared" si="16"/>
        <v>0</v>
      </c>
      <c r="AA50" s="186">
        <f t="shared" si="17"/>
        <v>0</v>
      </c>
      <c r="AC50" s="186">
        <f t="shared" si="18"/>
        <v>0</v>
      </c>
      <c r="AE50" s="186">
        <f t="shared" si="19"/>
        <v>0</v>
      </c>
      <c r="AG50" s="186">
        <f t="shared" si="20"/>
        <v>0</v>
      </c>
    </row>
    <row r="51" spans="1:36" ht="15.6" customHeight="1" x14ac:dyDescent="0.25">
      <c r="A51" s="648"/>
      <c r="B51" s="185" t="str">
        <f>IF(OR(B36="Podnik 3.",B36=""),"",B36)</f>
        <v/>
      </c>
      <c r="C51" s="569" t="str">
        <f t="shared" ref="C51:C58" si="21">IF(C36&gt;20,C36-1,"")</f>
        <v/>
      </c>
      <c r="D51" s="570"/>
      <c r="E51" s="290"/>
      <c r="F51" s="662"/>
      <c r="G51" s="663"/>
      <c r="H51" s="663"/>
      <c r="I51" s="664"/>
      <c r="J51" s="289"/>
      <c r="K51" s="289"/>
      <c r="L51" s="1"/>
      <c r="M51" s="2"/>
      <c r="N51" s="161"/>
      <c r="S51"/>
      <c r="T51" s="155"/>
      <c r="X51"/>
      <c r="Y51" s="70">
        <f t="shared" si="16"/>
        <v>0</v>
      </c>
      <c r="AA51" s="186">
        <f t="shared" si="17"/>
        <v>0</v>
      </c>
      <c r="AC51" s="186">
        <f t="shared" si="18"/>
        <v>0</v>
      </c>
      <c r="AE51" s="186">
        <f t="shared" si="19"/>
        <v>0</v>
      </c>
      <c r="AG51" s="186">
        <f t="shared" si="20"/>
        <v>0</v>
      </c>
    </row>
    <row r="52" spans="1:36" ht="15.6" customHeight="1" x14ac:dyDescent="0.25">
      <c r="A52" s="648"/>
      <c r="B52" s="185" t="str">
        <f>IF(OR(B37="Podnik 4.",B37=""),"",B37)</f>
        <v/>
      </c>
      <c r="C52" s="569" t="str">
        <f t="shared" si="21"/>
        <v/>
      </c>
      <c r="D52" s="570"/>
      <c r="E52" s="290"/>
      <c r="F52" s="662"/>
      <c r="G52" s="663"/>
      <c r="H52" s="663"/>
      <c r="I52" s="664"/>
      <c r="J52" s="289"/>
      <c r="K52" s="289"/>
      <c r="L52" s="1"/>
      <c r="M52" s="2"/>
      <c r="N52" s="161"/>
      <c r="S52"/>
      <c r="T52" s="155"/>
      <c r="X52"/>
      <c r="Y52" s="70">
        <f t="shared" si="16"/>
        <v>0</v>
      </c>
      <c r="AA52" s="186">
        <f t="shared" si="17"/>
        <v>0</v>
      </c>
      <c r="AC52" s="186">
        <f t="shared" si="18"/>
        <v>0</v>
      </c>
      <c r="AE52" s="186">
        <f t="shared" si="19"/>
        <v>0</v>
      </c>
      <c r="AG52" s="186">
        <f t="shared" si="20"/>
        <v>0</v>
      </c>
    </row>
    <row r="53" spans="1:36" ht="15.6" customHeight="1" x14ac:dyDescent="0.25">
      <c r="A53" s="648"/>
      <c r="B53" s="185" t="str">
        <f>IF(OR(B38="Podnik 5.",B38=""),"",B38)</f>
        <v/>
      </c>
      <c r="C53" s="569" t="str">
        <f t="shared" si="21"/>
        <v/>
      </c>
      <c r="D53" s="570"/>
      <c r="E53" s="290"/>
      <c r="F53" s="662"/>
      <c r="G53" s="663"/>
      <c r="H53" s="663"/>
      <c r="I53" s="664"/>
      <c r="J53" s="289"/>
      <c r="K53" s="289"/>
      <c r="L53" s="1"/>
      <c r="M53" s="2"/>
      <c r="N53" s="161"/>
      <c r="S53"/>
      <c r="T53" s="155"/>
      <c r="X53"/>
      <c r="Y53" s="70">
        <f t="shared" si="16"/>
        <v>0</v>
      </c>
      <c r="AA53" s="186">
        <f t="shared" si="17"/>
        <v>0</v>
      </c>
      <c r="AC53" s="186">
        <f t="shared" si="18"/>
        <v>0</v>
      </c>
      <c r="AE53" s="186">
        <f t="shared" si="19"/>
        <v>0</v>
      </c>
      <c r="AG53" s="186">
        <f t="shared" si="20"/>
        <v>0</v>
      </c>
    </row>
    <row r="54" spans="1:36" ht="15.6" customHeight="1" x14ac:dyDescent="0.25">
      <c r="A54" s="648"/>
      <c r="B54" s="185" t="str">
        <f>IF(OR(B39="Podnik 6.",B39=""),"",B39)</f>
        <v/>
      </c>
      <c r="C54" s="569" t="str">
        <f t="shared" si="21"/>
        <v/>
      </c>
      <c r="D54" s="570"/>
      <c r="E54" s="290"/>
      <c r="F54" s="662"/>
      <c r="G54" s="663"/>
      <c r="H54" s="663"/>
      <c r="I54" s="664"/>
      <c r="J54" s="289"/>
      <c r="K54" s="289"/>
      <c r="L54" s="1"/>
      <c r="M54" s="2"/>
      <c r="N54" s="161"/>
      <c r="S54"/>
      <c r="T54" s="155"/>
      <c r="X54"/>
      <c r="Y54" s="70">
        <f t="shared" si="16"/>
        <v>0</v>
      </c>
      <c r="AA54" s="186">
        <f t="shared" si="17"/>
        <v>0</v>
      </c>
      <c r="AC54" s="186">
        <f t="shared" si="18"/>
        <v>0</v>
      </c>
      <c r="AE54" s="186">
        <f t="shared" si="19"/>
        <v>0</v>
      </c>
      <c r="AG54" s="186">
        <f t="shared" si="20"/>
        <v>0</v>
      </c>
    </row>
    <row r="55" spans="1:36" ht="15.6" customHeight="1" x14ac:dyDescent="0.25">
      <c r="A55" s="648"/>
      <c r="B55" s="185" t="str">
        <f>IF(OR(B40="Podnik 7.",B40=""),"",B40)</f>
        <v/>
      </c>
      <c r="C55" s="569" t="str">
        <f t="shared" si="21"/>
        <v/>
      </c>
      <c r="D55" s="570"/>
      <c r="E55" s="290"/>
      <c r="F55" s="662"/>
      <c r="G55" s="663"/>
      <c r="H55" s="663"/>
      <c r="I55" s="664"/>
      <c r="J55" s="289"/>
      <c r="K55" s="289"/>
      <c r="L55" s="1"/>
      <c r="M55" s="2"/>
      <c r="N55" s="161"/>
      <c r="S55"/>
      <c r="T55" s="155"/>
      <c r="X55"/>
      <c r="Y55" s="70">
        <f t="shared" si="16"/>
        <v>0</v>
      </c>
      <c r="AA55" s="186">
        <f t="shared" si="17"/>
        <v>0</v>
      </c>
      <c r="AC55" s="186">
        <f t="shared" si="18"/>
        <v>0</v>
      </c>
      <c r="AE55" s="186">
        <f t="shared" si="19"/>
        <v>0</v>
      </c>
      <c r="AG55" s="186">
        <f t="shared" si="20"/>
        <v>0</v>
      </c>
    </row>
    <row r="56" spans="1:36" ht="15.6" customHeight="1" x14ac:dyDescent="0.25">
      <c r="A56" s="648"/>
      <c r="B56" s="185" t="str">
        <f>IF(OR(B41="Podnik 8.",B41=""),"",B41)</f>
        <v/>
      </c>
      <c r="C56" s="569" t="str">
        <f t="shared" si="21"/>
        <v/>
      </c>
      <c r="D56" s="570"/>
      <c r="E56" s="290"/>
      <c r="F56" s="662"/>
      <c r="G56" s="663"/>
      <c r="H56" s="663"/>
      <c r="I56" s="664"/>
      <c r="J56" s="289"/>
      <c r="K56" s="289"/>
      <c r="L56" s="1"/>
      <c r="M56" s="2"/>
      <c r="N56" s="161"/>
      <c r="S56"/>
      <c r="T56" s="155"/>
      <c r="X56"/>
      <c r="Y56" s="70">
        <f t="shared" si="16"/>
        <v>0</v>
      </c>
      <c r="AA56" s="186">
        <f t="shared" si="17"/>
        <v>0</v>
      </c>
      <c r="AC56" s="186">
        <f t="shared" si="18"/>
        <v>0</v>
      </c>
      <c r="AE56" s="186">
        <f t="shared" si="19"/>
        <v>0</v>
      </c>
      <c r="AG56" s="186">
        <f t="shared" si="20"/>
        <v>0</v>
      </c>
    </row>
    <row r="57" spans="1:36" ht="15.6" customHeight="1" x14ac:dyDescent="0.25">
      <c r="A57" s="648"/>
      <c r="B57" s="185" t="str">
        <f>IF(OR(B42="Podnik 9.",B42=""),"",B42)</f>
        <v/>
      </c>
      <c r="C57" s="569" t="str">
        <f t="shared" si="21"/>
        <v/>
      </c>
      <c r="D57" s="570"/>
      <c r="E57" s="290"/>
      <c r="F57" s="662"/>
      <c r="G57" s="663"/>
      <c r="H57" s="663"/>
      <c r="I57" s="664"/>
      <c r="J57" s="289"/>
      <c r="K57" s="289"/>
      <c r="L57" s="1"/>
      <c r="M57" s="2"/>
      <c r="N57" s="161"/>
      <c r="S57"/>
      <c r="T57" s="155"/>
      <c r="X57"/>
      <c r="Y57" s="70">
        <f t="shared" si="16"/>
        <v>0</v>
      </c>
      <c r="AA57" s="186">
        <f t="shared" si="17"/>
        <v>0</v>
      </c>
      <c r="AC57" s="186">
        <f t="shared" si="18"/>
        <v>0</v>
      </c>
      <c r="AE57" s="186">
        <f t="shared" si="19"/>
        <v>0</v>
      </c>
      <c r="AG57" s="186">
        <f t="shared" si="20"/>
        <v>0</v>
      </c>
    </row>
    <row r="58" spans="1:36" ht="15.6" customHeight="1" x14ac:dyDescent="0.25">
      <c r="A58" s="648"/>
      <c r="B58" s="185" t="str">
        <f>IF(OR(B43="Podnik 10.",B43=""),"",B43)</f>
        <v/>
      </c>
      <c r="C58" s="569" t="str">
        <f t="shared" si="21"/>
        <v/>
      </c>
      <c r="D58" s="570"/>
      <c r="E58" s="290"/>
      <c r="F58" s="662"/>
      <c r="G58" s="663"/>
      <c r="H58" s="663"/>
      <c r="I58" s="664"/>
      <c r="J58" s="289"/>
      <c r="K58" s="289"/>
      <c r="L58" s="1"/>
      <c r="M58" s="2"/>
      <c r="N58" s="161"/>
      <c r="S58"/>
      <c r="T58" s="155"/>
      <c r="X58"/>
      <c r="Y58" s="70">
        <f t="shared" si="16"/>
        <v>0</v>
      </c>
      <c r="AA58" s="186">
        <f t="shared" si="17"/>
        <v>0</v>
      </c>
      <c r="AC58" s="186">
        <f t="shared" si="18"/>
        <v>0</v>
      </c>
      <c r="AE58" s="186">
        <f t="shared" si="19"/>
        <v>0</v>
      </c>
      <c r="AG58" s="186">
        <f t="shared" si="20"/>
        <v>0</v>
      </c>
    </row>
    <row r="59" spans="1:36" ht="15.6" customHeight="1" thickBot="1" x14ac:dyDescent="0.3">
      <c r="A59" s="166"/>
      <c r="B59" s="603" t="s">
        <v>73</v>
      </c>
      <c r="C59" s="604"/>
      <c r="D59" s="605"/>
      <c r="E59" s="190">
        <f>SUM(E49:E58)</f>
        <v>0</v>
      </c>
      <c r="F59" s="665"/>
      <c r="G59" s="666"/>
      <c r="H59" s="666"/>
      <c r="I59" s="667"/>
      <c r="J59" s="191">
        <f>SUM(J49:J58)</f>
        <v>0</v>
      </c>
      <c r="K59" s="191">
        <f>SUM(K49:K58)</f>
        <v>0</v>
      </c>
      <c r="L59" s="191">
        <f>SUM(L49:L58)</f>
        <v>0</v>
      </c>
      <c r="M59" s="192">
        <f>SUM(M49:M58)</f>
        <v>0</v>
      </c>
      <c r="N59" s="161"/>
      <c r="S59"/>
      <c r="T59" s="155"/>
    </row>
    <row r="60" spans="1:36" ht="20.25" customHeight="1" x14ac:dyDescent="0.25">
      <c r="A60" s="159"/>
      <c r="B60" s="160"/>
      <c r="C60" s="160"/>
      <c r="D60" s="161"/>
      <c r="E60" s="161"/>
      <c r="F60" s="160"/>
      <c r="G60" s="162"/>
      <c r="H60" s="163"/>
      <c r="I60" s="163"/>
      <c r="J60" s="163"/>
      <c r="K60" s="163"/>
      <c r="L60" s="161"/>
      <c r="M60" s="161"/>
      <c r="N60" s="161"/>
      <c r="S60"/>
      <c r="T60" s="155"/>
    </row>
    <row r="61" spans="1:36" ht="20.25" customHeight="1" thickBot="1" x14ac:dyDescent="0.3">
      <c r="A61" s="193"/>
      <c r="B61" s="194"/>
      <c r="C61" s="194"/>
      <c r="D61" s="195"/>
      <c r="E61" s="195"/>
      <c r="F61" s="194"/>
      <c r="G61" s="196"/>
      <c r="H61" s="197"/>
      <c r="I61" s="197"/>
      <c r="J61" s="197"/>
      <c r="K61" s="197"/>
      <c r="L61" s="195"/>
      <c r="M61" s="195"/>
      <c r="N61" s="195"/>
      <c r="S61"/>
      <c r="T61" s="155"/>
      <c r="U61" s="155"/>
      <c r="V61" s="155"/>
      <c r="W61" s="155"/>
      <c r="X61" s="155"/>
      <c r="Y61" s="155"/>
      <c r="Z61" s="155"/>
      <c r="AA61" s="155"/>
      <c r="AB61" s="155"/>
      <c r="AC61" s="155"/>
      <c r="AD61" s="155"/>
      <c r="AE61" s="155"/>
      <c r="AF61" s="155"/>
      <c r="AG61" s="155"/>
      <c r="AH61" s="155"/>
      <c r="AI61" s="155"/>
      <c r="AJ61" s="155"/>
    </row>
    <row r="62" spans="1:36" ht="21" customHeight="1" x14ac:dyDescent="0.25">
      <c r="A62" s="677" t="s">
        <v>422</v>
      </c>
      <c r="B62" s="733" t="s">
        <v>371</v>
      </c>
      <c r="C62" s="609" t="str">
        <f>IF(AND(E11="Ano",E13="Ano"),"","Podniky, které vedou účetnictví, kdy alespoň jeden ze společníků plně ručí za závazky a podnik má zároveň základní kapitál nebo minimální kapitálový požadavek.")</f>
        <v>Podniky, které vedou účetnictví, kdy alespoň jeden ze společníků plně ručí za závazky a podnik má zároveň základní kapitál nebo minimální kapitálový požadavek.</v>
      </c>
      <c r="D62" s="609"/>
      <c r="E62" s="609"/>
      <c r="F62" s="609"/>
      <c r="G62" s="609"/>
      <c r="H62" s="609"/>
      <c r="I62" s="609"/>
      <c r="J62" s="609"/>
      <c r="K62" s="609"/>
      <c r="L62" s="609"/>
      <c r="M62" s="610"/>
      <c r="N62" s="195"/>
      <c r="S62"/>
      <c r="T62" s="155"/>
      <c r="U62" s="155"/>
      <c r="V62" s="155"/>
      <c r="W62" s="155"/>
      <c r="X62" s="155"/>
      <c r="Y62" s="155"/>
      <c r="Z62" s="155"/>
      <c r="AA62" s="155"/>
      <c r="AB62" s="155"/>
      <c r="AC62" s="155"/>
      <c r="AD62" s="155"/>
      <c r="AE62" s="155"/>
      <c r="AF62" s="155"/>
      <c r="AG62" s="155"/>
      <c r="AH62" s="155"/>
      <c r="AI62" s="155"/>
      <c r="AJ62" s="155"/>
    </row>
    <row r="63" spans="1:36" ht="17.25" customHeight="1" x14ac:dyDescent="0.25">
      <c r="A63" s="677"/>
      <c r="B63" s="734"/>
      <c r="C63" s="611" t="str">
        <f>IF(AND(E11="Ano",E13="Ano"),"","Podniky, které vedou jednoduché účetnictví / daňovou evidenci, kdy alespoň jeden ze společníků plně ručí za závazky (bez ohledu na ZK nebo minimální kap. požadvek).")</f>
        <v>Podniky, které vedou jednoduché účetnictví / daňovou evidenci, kdy alespoň jeden ze společníků plně ručí za závazky (bez ohledu na ZK nebo minimální kap. požadvek).</v>
      </c>
      <c r="D63" s="611"/>
      <c r="E63" s="611"/>
      <c r="F63" s="611"/>
      <c r="G63" s="611"/>
      <c r="H63" s="611"/>
      <c r="I63" s="611"/>
      <c r="J63" s="611"/>
      <c r="K63" s="611"/>
      <c r="L63" s="611"/>
      <c r="M63" s="612"/>
      <c r="N63" s="195"/>
      <c r="S63"/>
      <c r="T63" s="155"/>
      <c r="U63" s="155"/>
      <c r="V63" s="155"/>
      <c r="W63" s="155"/>
      <c r="X63" s="155"/>
      <c r="Y63" s="155"/>
      <c r="Z63" s="155"/>
      <c r="AA63" s="155"/>
      <c r="AB63" s="155"/>
      <c r="AC63" s="155"/>
      <c r="AD63" s="155"/>
      <c r="AE63" s="155"/>
      <c r="AF63" s="155"/>
      <c r="AG63" s="155"/>
      <c r="AH63" s="155"/>
      <c r="AI63" s="155"/>
      <c r="AJ63" s="155"/>
    </row>
    <row r="64" spans="1:36" ht="21" customHeight="1" thickBot="1" x14ac:dyDescent="0.3">
      <c r="A64" s="677"/>
      <c r="B64" s="734"/>
      <c r="C64" s="684" t="str">
        <f>IF(AND(E11="Ano",E13="Ano"),"","Fyzické osoby podnikající (OSVČ), které vedou účetnictví. (OSVČ s daňovou evidencí není potřeba doplňovat, pokud Banka nerozhodne jinak).")</f>
        <v>Fyzické osoby podnikající (OSVČ), které vedou účetnictví. (OSVČ s daňovou evidencí není potřeba doplňovat, pokud Banka nerozhodne jinak).</v>
      </c>
      <c r="D64" s="684"/>
      <c r="E64" s="685"/>
      <c r="F64" s="685"/>
      <c r="G64" s="685"/>
      <c r="H64" s="685"/>
      <c r="I64" s="685"/>
      <c r="J64" s="685"/>
      <c r="K64" s="685"/>
      <c r="L64" s="685"/>
      <c r="M64" s="686"/>
      <c r="N64" s="195"/>
      <c r="S64"/>
      <c r="T64" s="155"/>
      <c r="U64" s="155"/>
      <c r="V64" s="155"/>
      <c r="W64" s="155"/>
      <c r="X64" s="155"/>
      <c r="Y64" s="155"/>
      <c r="Z64" s="155"/>
      <c r="AA64" s="155"/>
      <c r="AB64" s="155"/>
      <c r="AC64" s="155"/>
      <c r="AD64" s="155"/>
      <c r="AE64" s="155"/>
      <c r="AF64" s="155"/>
      <c r="AG64" s="155"/>
      <c r="AH64" s="155"/>
      <c r="AI64" s="155"/>
      <c r="AJ64" s="155"/>
    </row>
    <row r="65" spans="1:36" ht="19.899999999999999" customHeight="1" x14ac:dyDescent="0.25">
      <c r="A65" s="677"/>
      <c r="B65" s="687" t="str">
        <f>B31</f>
        <v>Obchodní jméno podniku</v>
      </c>
      <c r="C65" s="678" t="s">
        <v>501</v>
      </c>
      <c r="D65" s="559"/>
      <c r="E65" s="587" t="s">
        <v>504</v>
      </c>
      <c r="F65" s="588"/>
      <c r="G65" s="588"/>
      <c r="H65" s="588"/>
      <c r="I65" s="588"/>
      <c r="J65" s="168"/>
      <c r="K65" s="675" t="s">
        <v>87</v>
      </c>
      <c r="L65" s="675"/>
      <c r="M65" s="676"/>
      <c r="N65" s="195"/>
      <c r="S65"/>
      <c r="V65"/>
      <c r="W65"/>
      <c r="X65"/>
      <c r="Y65"/>
      <c r="Z65"/>
      <c r="AA65"/>
      <c r="AB65"/>
      <c r="AC65"/>
      <c r="AD65"/>
      <c r="AE65"/>
      <c r="AF65"/>
      <c r="AG65"/>
      <c r="AH65"/>
      <c r="AI65"/>
      <c r="AJ65"/>
    </row>
    <row r="66" spans="1:36" ht="55.5" customHeight="1" thickBot="1" x14ac:dyDescent="0.3">
      <c r="A66" s="677"/>
      <c r="B66" s="688"/>
      <c r="C66" s="679"/>
      <c r="D66" s="680"/>
      <c r="E66" s="199" t="s">
        <v>15</v>
      </c>
      <c r="F66" s="184" t="s">
        <v>30</v>
      </c>
      <c r="G66" s="184" t="s">
        <v>72</v>
      </c>
      <c r="H66" s="184" t="s">
        <v>83</v>
      </c>
      <c r="I66" s="184" t="s">
        <v>81</v>
      </c>
      <c r="J66" s="184" t="s">
        <v>99</v>
      </c>
      <c r="K66" s="171" t="s">
        <v>23</v>
      </c>
      <c r="L66" s="171" t="s">
        <v>25</v>
      </c>
      <c r="M66" s="172" t="s">
        <v>82</v>
      </c>
      <c r="N66" s="195"/>
      <c r="S66"/>
      <c r="U66" s="155"/>
      <c r="V66" s="155"/>
      <c r="W66" s="155"/>
      <c r="X66" s="155"/>
      <c r="Y66" s="155"/>
      <c r="Z66" s="155"/>
      <c r="AA66" s="155"/>
      <c r="AB66" s="155"/>
      <c r="AC66" s="155"/>
      <c r="AD66" s="155"/>
      <c r="AE66" s="155"/>
      <c r="AF66" s="155"/>
      <c r="AG66" s="155"/>
      <c r="AH66" s="155"/>
      <c r="AI66" s="155"/>
      <c r="AJ66" s="155"/>
    </row>
    <row r="67" spans="1:36" ht="20.100000000000001" customHeight="1" thickBot="1" x14ac:dyDescent="0.3">
      <c r="A67" s="677"/>
      <c r="B67" s="681" t="s">
        <v>419</v>
      </c>
      <c r="C67" s="682"/>
      <c r="D67" s="683"/>
      <c r="E67" s="607" t="str">
        <f>E48</f>
        <v>Uveďte údaje z konsolidované účetní závěrky, je-li k dispozici.</v>
      </c>
      <c r="F67" s="607"/>
      <c r="G67" s="607"/>
      <c r="H67" s="607"/>
      <c r="I67" s="607"/>
      <c r="J67" s="607"/>
      <c r="K67" s="607"/>
      <c r="L67" s="607"/>
      <c r="M67" s="608"/>
      <c r="N67" s="195"/>
      <c r="O67" s="173" t="s">
        <v>486</v>
      </c>
      <c r="P67" s="173" t="s">
        <v>487</v>
      </c>
      <c r="T67" s="152" t="s">
        <v>410</v>
      </c>
      <c r="U67" s="155"/>
      <c r="V67" s="200" t="s">
        <v>434</v>
      </c>
      <c r="W67" s="200"/>
      <c r="X67" s="155"/>
      <c r="Y67" s="155"/>
      <c r="Z67" s="155"/>
      <c r="AA67" s="155"/>
      <c r="AB67" s="155"/>
      <c r="AC67" s="155"/>
      <c r="AD67" s="155"/>
      <c r="AE67" s="155"/>
      <c r="AF67" s="155"/>
      <c r="AG67" s="155"/>
      <c r="AH67" s="155"/>
      <c r="AI67" s="155"/>
      <c r="AJ67" s="155"/>
    </row>
    <row r="68" spans="1:36" ht="15.6" customHeight="1" x14ac:dyDescent="0.25">
      <c r="A68" s="677"/>
      <c r="B68" s="284" t="s">
        <v>507</v>
      </c>
      <c r="C68" s="613"/>
      <c r="D68" s="614"/>
      <c r="E68" s="285"/>
      <c r="F68" s="689" t="s">
        <v>84</v>
      </c>
      <c r="G68" s="690"/>
      <c r="H68" s="289"/>
      <c r="I68" s="289"/>
      <c r="J68" s="1"/>
      <c r="K68" s="1"/>
      <c r="L68" s="1"/>
      <c r="M68" s="2"/>
      <c r="N68" s="195"/>
      <c r="O68" s="70">
        <f>IF(OR(E68&lt;&gt;0,H68&lt;&gt;0,I68&lt;&gt;0,J68&lt;&gt;0,K68&lt;&gt;0,L68&lt;&gt;0,M68&lt;&gt;0),1,0)</f>
        <v>0</v>
      </c>
      <c r="P68" s="70">
        <f>IF(AND(C68="",O68=1),1,0)</f>
        <v>0</v>
      </c>
      <c r="Q68" s="70">
        <f t="shared" ref="Q68:Q77" si="22">IF(C68=$T$28,1,0)</f>
        <v>0</v>
      </c>
      <c r="R68" s="70">
        <f>IF(C68=$T$30,1,0)</f>
        <v>0</v>
      </c>
      <c r="S68"/>
      <c r="T68" s="201" t="b">
        <v>1</v>
      </c>
      <c r="U68" s="155"/>
      <c r="V68" s="201" t="str">
        <f t="shared" ref="V68:V77" si="23">B68</f>
        <v>Podnik 1.</v>
      </c>
      <c r="W68" s="202">
        <f t="shared" ref="W68:W77" si="24">IF(C68="",0,IF(C68=$T$28,0,1))</f>
        <v>0</v>
      </c>
      <c r="X68" s="201">
        <f t="shared" ref="X68:X77" si="25">IF(C68=$T$28,E68,0)</f>
        <v>0</v>
      </c>
      <c r="Y68" s="70">
        <f t="shared" ref="Y68:Y77" si="26">IF(C68=$T$30,E68,0)</f>
        <v>0</v>
      </c>
      <c r="Z68" s="201">
        <f t="shared" ref="Z68:Z77" si="27">IF(C68=$T$28,J68,0)</f>
        <v>0</v>
      </c>
      <c r="AA68" s="201">
        <f t="shared" ref="AA68:AA77" si="28">IF(C68=$T$30,J68,0)</f>
        <v>0</v>
      </c>
      <c r="AB68" s="201">
        <f t="shared" ref="AB68:AB77" si="29">IF(C68=$T$28,K68,0)</f>
        <v>0</v>
      </c>
      <c r="AC68" s="201">
        <f t="shared" ref="AC68:AC77" si="30">IF(C68=$T$30,K68,0)</f>
        <v>0</v>
      </c>
      <c r="AD68" s="201">
        <f t="shared" ref="AD68:AD77" si="31">IF(C68=$T$28,L68,0)</f>
        <v>0</v>
      </c>
      <c r="AE68" s="201">
        <f t="shared" ref="AE68:AE77" si="32">IF(C68=$T$30,L68,0)</f>
        <v>0</v>
      </c>
      <c r="AF68" s="201">
        <f t="shared" ref="AF68:AF77" si="33">IF(C68=$T$28,M68,0)</f>
        <v>0</v>
      </c>
      <c r="AG68" s="201">
        <f t="shared" ref="AG68:AG77" si="34">IF(C68=$T$30,M68,0)</f>
        <v>0</v>
      </c>
      <c r="AH68" s="155"/>
      <c r="AI68" s="155"/>
      <c r="AJ68" s="155"/>
    </row>
    <row r="69" spans="1:36" ht="15.6" customHeight="1" x14ac:dyDescent="0.25">
      <c r="A69" s="677"/>
      <c r="B69" s="284" t="s">
        <v>508</v>
      </c>
      <c r="C69" s="613"/>
      <c r="D69" s="614"/>
      <c r="E69" s="285"/>
      <c r="F69" s="691"/>
      <c r="G69" s="692"/>
      <c r="H69" s="289"/>
      <c r="I69" s="289"/>
      <c r="J69" s="289"/>
      <c r="K69" s="289"/>
      <c r="L69" s="1"/>
      <c r="M69" s="2"/>
      <c r="N69" s="195"/>
      <c r="O69" s="70">
        <f t="shared" ref="O69:O77" si="35">IF(OR(E69&lt;&gt;0,H69&lt;&gt;0,I69&lt;&gt;0,J69&lt;&gt;0,K69&lt;&gt;0,L69&lt;&gt;0,M69&lt;&gt;0),1,0)</f>
        <v>0</v>
      </c>
      <c r="P69" s="70">
        <f t="shared" ref="P69:P77" si="36">IF(AND(C69="",O69=1),1,0)</f>
        <v>0</v>
      </c>
      <c r="Q69" s="70">
        <f t="shared" si="22"/>
        <v>0</v>
      </c>
      <c r="R69" s="70">
        <f t="shared" ref="R69:R77" si="37">IF(C69=$T$30,1,0)</f>
        <v>0</v>
      </c>
      <c r="S69"/>
      <c r="T69" s="201" t="b">
        <v>0</v>
      </c>
      <c r="U69" s="155"/>
      <c r="V69" s="201" t="str">
        <f t="shared" si="23"/>
        <v>Podnik 2.</v>
      </c>
      <c r="W69" s="202">
        <f t="shared" si="24"/>
        <v>0</v>
      </c>
      <c r="X69" s="201">
        <f t="shared" si="25"/>
        <v>0</v>
      </c>
      <c r="Y69" s="70">
        <f t="shared" si="26"/>
        <v>0</v>
      </c>
      <c r="Z69" s="201">
        <f t="shared" si="27"/>
        <v>0</v>
      </c>
      <c r="AA69" s="201">
        <f t="shared" si="28"/>
        <v>0</v>
      </c>
      <c r="AB69" s="201">
        <f t="shared" si="29"/>
        <v>0</v>
      </c>
      <c r="AC69" s="201">
        <f t="shared" si="30"/>
        <v>0</v>
      </c>
      <c r="AD69" s="201">
        <f t="shared" si="31"/>
        <v>0</v>
      </c>
      <c r="AE69" s="201">
        <f t="shared" si="32"/>
        <v>0</v>
      </c>
      <c r="AF69" s="201">
        <f t="shared" si="33"/>
        <v>0</v>
      </c>
      <c r="AG69" s="201">
        <f t="shared" si="34"/>
        <v>0</v>
      </c>
      <c r="AH69" s="155"/>
      <c r="AI69" s="155"/>
      <c r="AJ69" s="155"/>
    </row>
    <row r="70" spans="1:36" ht="15.6" customHeight="1" x14ac:dyDescent="0.25">
      <c r="A70" s="677"/>
      <c r="B70" s="284" t="s">
        <v>509</v>
      </c>
      <c r="C70" s="613"/>
      <c r="D70" s="614"/>
      <c r="E70" s="285"/>
      <c r="F70" s="691"/>
      <c r="G70" s="692"/>
      <c r="H70" s="289"/>
      <c r="I70" s="289"/>
      <c r="J70" s="289"/>
      <c r="K70" s="289"/>
      <c r="L70" s="1"/>
      <c r="M70" s="2"/>
      <c r="N70" s="195"/>
      <c r="O70" s="70">
        <f t="shared" si="35"/>
        <v>0</v>
      </c>
      <c r="P70" s="70">
        <f t="shared" si="36"/>
        <v>0</v>
      </c>
      <c r="Q70" s="70">
        <f t="shared" si="22"/>
        <v>0</v>
      </c>
      <c r="R70" s="70">
        <f t="shared" si="37"/>
        <v>0</v>
      </c>
      <c r="S70"/>
      <c r="T70" s="201" t="b">
        <v>0</v>
      </c>
      <c r="U70" s="155"/>
      <c r="V70" s="201" t="str">
        <f t="shared" si="23"/>
        <v>Podnik 3.</v>
      </c>
      <c r="W70" s="202">
        <f t="shared" si="24"/>
        <v>0</v>
      </c>
      <c r="X70" s="201">
        <f t="shared" si="25"/>
        <v>0</v>
      </c>
      <c r="Y70" s="70">
        <f t="shared" si="26"/>
        <v>0</v>
      </c>
      <c r="Z70" s="201">
        <f t="shared" si="27"/>
        <v>0</v>
      </c>
      <c r="AA70" s="201">
        <f t="shared" si="28"/>
        <v>0</v>
      </c>
      <c r="AB70" s="201">
        <f t="shared" si="29"/>
        <v>0</v>
      </c>
      <c r="AC70" s="201">
        <f t="shared" si="30"/>
        <v>0</v>
      </c>
      <c r="AD70" s="201">
        <f t="shared" si="31"/>
        <v>0</v>
      </c>
      <c r="AE70" s="201">
        <f t="shared" si="32"/>
        <v>0</v>
      </c>
      <c r="AF70" s="201">
        <f t="shared" si="33"/>
        <v>0</v>
      </c>
      <c r="AG70" s="201">
        <f t="shared" si="34"/>
        <v>0</v>
      </c>
      <c r="AH70" s="155"/>
      <c r="AI70" s="155"/>
      <c r="AJ70" s="155"/>
    </row>
    <row r="71" spans="1:36" ht="15.6" customHeight="1" x14ac:dyDescent="0.25">
      <c r="A71" s="677"/>
      <c r="B71" s="284" t="s">
        <v>510</v>
      </c>
      <c r="C71" s="613"/>
      <c r="D71" s="614"/>
      <c r="E71" s="285"/>
      <c r="F71" s="691"/>
      <c r="G71" s="692"/>
      <c r="H71" s="289"/>
      <c r="I71" s="289"/>
      <c r="J71" s="289"/>
      <c r="K71" s="289"/>
      <c r="L71" s="1"/>
      <c r="M71" s="2"/>
      <c r="N71" s="195"/>
      <c r="O71" s="70">
        <f t="shared" si="35"/>
        <v>0</v>
      </c>
      <c r="P71" s="70">
        <f t="shared" si="36"/>
        <v>0</v>
      </c>
      <c r="Q71" s="70">
        <f t="shared" si="22"/>
        <v>0</v>
      </c>
      <c r="R71" s="70">
        <f t="shared" si="37"/>
        <v>0</v>
      </c>
      <c r="S71"/>
      <c r="T71" s="201" t="b">
        <v>0</v>
      </c>
      <c r="U71" s="155"/>
      <c r="V71" s="201" t="str">
        <f t="shared" si="23"/>
        <v>Podnik 4.</v>
      </c>
      <c r="W71" s="202">
        <f t="shared" si="24"/>
        <v>0</v>
      </c>
      <c r="X71" s="201">
        <f t="shared" si="25"/>
        <v>0</v>
      </c>
      <c r="Y71" s="70">
        <f t="shared" si="26"/>
        <v>0</v>
      </c>
      <c r="Z71" s="201">
        <f t="shared" si="27"/>
        <v>0</v>
      </c>
      <c r="AA71" s="201">
        <f t="shared" si="28"/>
        <v>0</v>
      </c>
      <c r="AB71" s="201">
        <f t="shared" si="29"/>
        <v>0</v>
      </c>
      <c r="AC71" s="201">
        <f t="shared" si="30"/>
        <v>0</v>
      </c>
      <c r="AD71" s="201">
        <f t="shared" si="31"/>
        <v>0</v>
      </c>
      <c r="AE71" s="201">
        <f t="shared" si="32"/>
        <v>0</v>
      </c>
      <c r="AF71" s="201">
        <f t="shared" si="33"/>
        <v>0</v>
      </c>
      <c r="AG71" s="201">
        <f t="shared" si="34"/>
        <v>0</v>
      </c>
      <c r="AH71" s="155"/>
      <c r="AI71" s="155"/>
      <c r="AJ71" s="155"/>
    </row>
    <row r="72" spans="1:36" ht="15.6" customHeight="1" x14ac:dyDescent="0.25">
      <c r="A72" s="677"/>
      <c r="B72" s="284" t="s">
        <v>511</v>
      </c>
      <c r="C72" s="613"/>
      <c r="D72" s="614"/>
      <c r="E72" s="285"/>
      <c r="F72" s="691"/>
      <c r="G72" s="692"/>
      <c r="H72" s="289"/>
      <c r="I72" s="289"/>
      <c r="J72" s="289"/>
      <c r="K72" s="289"/>
      <c r="L72" s="1"/>
      <c r="M72" s="2"/>
      <c r="N72" s="195"/>
      <c r="O72" s="70">
        <f t="shared" si="35"/>
        <v>0</v>
      </c>
      <c r="P72" s="70">
        <f t="shared" si="36"/>
        <v>0</v>
      </c>
      <c r="Q72" s="70">
        <f t="shared" si="22"/>
        <v>0</v>
      </c>
      <c r="R72" s="70">
        <f t="shared" si="37"/>
        <v>0</v>
      </c>
      <c r="S72"/>
      <c r="T72" s="201" t="b">
        <v>0</v>
      </c>
      <c r="U72" s="155"/>
      <c r="V72" s="201" t="str">
        <f t="shared" si="23"/>
        <v>Podnik 5.</v>
      </c>
      <c r="W72" s="202">
        <f t="shared" si="24"/>
        <v>0</v>
      </c>
      <c r="X72" s="201">
        <f t="shared" si="25"/>
        <v>0</v>
      </c>
      <c r="Y72" s="70">
        <f t="shared" si="26"/>
        <v>0</v>
      </c>
      <c r="Z72" s="201">
        <f t="shared" si="27"/>
        <v>0</v>
      </c>
      <c r="AA72" s="201">
        <f t="shared" si="28"/>
        <v>0</v>
      </c>
      <c r="AB72" s="201">
        <f t="shared" si="29"/>
        <v>0</v>
      </c>
      <c r="AC72" s="201">
        <f t="shared" si="30"/>
        <v>0</v>
      </c>
      <c r="AD72" s="201">
        <f t="shared" si="31"/>
        <v>0</v>
      </c>
      <c r="AE72" s="201">
        <f t="shared" si="32"/>
        <v>0</v>
      </c>
      <c r="AF72" s="201">
        <f t="shared" si="33"/>
        <v>0</v>
      </c>
      <c r="AG72" s="201">
        <f t="shared" si="34"/>
        <v>0</v>
      </c>
      <c r="AH72" s="155"/>
      <c r="AI72" s="155"/>
      <c r="AJ72" s="155"/>
    </row>
    <row r="73" spans="1:36" ht="15.6" customHeight="1" x14ac:dyDescent="0.25">
      <c r="A73" s="677"/>
      <c r="B73" s="284" t="s">
        <v>512</v>
      </c>
      <c r="C73" s="613"/>
      <c r="D73" s="614"/>
      <c r="E73" s="285"/>
      <c r="F73" s="691"/>
      <c r="G73" s="692"/>
      <c r="H73" s="289"/>
      <c r="I73" s="289"/>
      <c r="J73" s="289"/>
      <c r="K73" s="289"/>
      <c r="L73" s="1"/>
      <c r="M73" s="2"/>
      <c r="N73" s="195"/>
      <c r="O73" s="70">
        <f t="shared" si="35"/>
        <v>0</v>
      </c>
      <c r="P73" s="70">
        <f t="shared" si="36"/>
        <v>0</v>
      </c>
      <c r="Q73" s="70">
        <f t="shared" si="22"/>
        <v>0</v>
      </c>
      <c r="R73" s="70">
        <f t="shared" si="37"/>
        <v>0</v>
      </c>
      <c r="S73"/>
      <c r="T73" s="201" t="b">
        <v>0</v>
      </c>
      <c r="U73" s="155"/>
      <c r="V73" s="201" t="str">
        <f t="shared" si="23"/>
        <v>Podnik 6.</v>
      </c>
      <c r="W73" s="202">
        <f t="shared" si="24"/>
        <v>0</v>
      </c>
      <c r="X73" s="201">
        <f t="shared" si="25"/>
        <v>0</v>
      </c>
      <c r="Y73" s="70">
        <f t="shared" si="26"/>
        <v>0</v>
      </c>
      <c r="Z73" s="201">
        <f t="shared" si="27"/>
        <v>0</v>
      </c>
      <c r="AA73" s="201">
        <f t="shared" si="28"/>
        <v>0</v>
      </c>
      <c r="AB73" s="201">
        <f t="shared" si="29"/>
        <v>0</v>
      </c>
      <c r="AC73" s="201">
        <f t="shared" si="30"/>
        <v>0</v>
      </c>
      <c r="AD73" s="201">
        <f t="shared" si="31"/>
        <v>0</v>
      </c>
      <c r="AE73" s="201">
        <f t="shared" si="32"/>
        <v>0</v>
      </c>
      <c r="AF73" s="201">
        <f t="shared" si="33"/>
        <v>0</v>
      </c>
      <c r="AG73" s="201">
        <f t="shared" si="34"/>
        <v>0</v>
      </c>
      <c r="AH73" s="155"/>
      <c r="AI73" s="155"/>
      <c r="AJ73" s="155"/>
    </row>
    <row r="74" spans="1:36" ht="15.6" customHeight="1" x14ac:dyDescent="0.25">
      <c r="A74" s="677"/>
      <c r="B74" s="284" t="s">
        <v>513</v>
      </c>
      <c r="C74" s="613"/>
      <c r="D74" s="614"/>
      <c r="E74" s="285"/>
      <c r="F74" s="691"/>
      <c r="G74" s="692"/>
      <c r="H74" s="289"/>
      <c r="I74" s="289"/>
      <c r="J74" s="289"/>
      <c r="K74" s="289"/>
      <c r="L74" s="1"/>
      <c r="M74" s="2"/>
      <c r="N74" s="195"/>
      <c r="O74" s="70">
        <f t="shared" si="35"/>
        <v>0</v>
      </c>
      <c r="P74" s="70">
        <f t="shared" si="36"/>
        <v>0</v>
      </c>
      <c r="Q74" s="70">
        <f t="shared" si="22"/>
        <v>0</v>
      </c>
      <c r="R74" s="70">
        <f t="shared" si="37"/>
        <v>0</v>
      </c>
      <c r="S74"/>
      <c r="T74" s="201" t="b">
        <v>0</v>
      </c>
      <c r="U74" s="155"/>
      <c r="V74" s="201" t="str">
        <f t="shared" si="23"/>
        <v>Podnik 7.</v>
      </c>
      <c r="W74" s="202">
        <f t="shared" si="24"/>
        <v>0</v>
      </c>
      <c r="X74" s="201">
        <f t="shared" si="25"/>
        <v>0</v>
      </c>
      <c r="Y74" s="70">
        <f t="shared" si="26"/>
        <v>0</v>
      </c>
      <c r="Z74" s="201">
        <f t="shared" si="27"/>
        <v>0</v>
      </c>
      <c r="AA74" s="201">
        <f t="shared" si="28"/>
        <v>0</v>
      </c>
      <c r="AB74" s="201">
        <f t="shared" si="29"/>
        <v>0</v>
      </c>
      <c r="AC74" s="201">
        <f t="shared" si="30"/>
        <v>0</v>
      </c>
      <c r="AD74" s="201">
        <f t="shared" si="31"/>
        <v>0</v>
      </c>
      <c r="AE74" s="201">
        <f t="shared" si="32"/>
        <v>0</v>
      </c>
      <c r="AF74" s="201">
        <f t="shared" si="33"/>
        <v>0</v>
      </c>
      <c r="AG74" s="201">
        <f t="shared" si="34"/>
        <v>0</v>
      </c>
      <c r="AH74" s="155"/>
      <c r="AI74" s="155"/>
      <c r="AJ74" s="155"/>
    </row>
    <row r="75" spans="1:36" ht="15.6" customHeight="1" x14ac:dyDescent="0.25">
      <c r="A75" s="677"/>
      <c r="B75" s="284" t="s">
        <v>514</v>
      </c>
      <c r="C75" s="613"/>
      <c r="D75" s="614"/>
      <c r="E75" s="285"/>
      <c r="F75" s="691"/>
      <c r="G75" s="692"/>
      <c r="H75" s="289"/>
      <c r="I75" s="289"/>
      <c r="J75" s="289"/>
      <c r="K75" s="289"/>
      <c r="L75" s="1"/>
      <c r="M75" s="2"/>
      <c r="N75" s="195"/>
      <c r="O75" s="70">
        <f t="shared" si="35"/>
        <v>0</v>
      </c>
      <c r="P75" s="70">
        <f t="shared" si="36"/>
        <v>0</v>
      </c>
      <c r="Q75" s="70">
        <f t="shared" si="22"/>
        <v>0</v>
      </c>
      <c r="R75" s="70">
        <f t="shared" si="37"/>
        <v>0</v>
      </c>
      <c r="S75"/>
      <c r="T75" s="201" t="b">
        <v>1</v>
      </c>
      <c r="U75" s="155"/>
      <c r="V75" s="201" t="str">
        <f t="shared" si="23"/>
        <v>Podnik 8.</v>
      </c>
      <c r="W75" s="202">
        <f t="shared" si="24"/>
        <v>0</v>
      </c>
      <c r="X75" s="201">
        <f t="shared" si="25"/>
        <v>0</v>
      </c>
      <c r="Y75" s="70">
        <f t="shared" si="26"/>
        <v>0</v>
      </c>
      <c r="Z75" s="201">
        <f t="shared" si="27"/>
        <v>0</v>
      </c>
      <c r="AA75" s="201">
        <f t="shared" si="28"/>
        <v>0</v>
      </c>
      <c r="AB75" s="201">
        <f t="shared" si="29"/>
        <v>0</v>
      </c>
      <c r="AC75" s="201">
        <f t="shared" si="30"/>
        <v>0</v>
      </c>
      <c r="AD75" s="201">
        <f t="shared" si="31"/>
        <v>0</v>
      </c>
      <c r="AE75" s="201">
        <f t="shared" si="32"/>
        <v>0</v>
      </c>
      <c r="AF75" s="201">
        <f t="shared" si="33"/>
        <v>0</v>
      </c>
      <c r="AG75" s="201">
        <f t="shared" si="34"/>
        <v>0</v>
      </c>
      <c r="AH75" s="155"/>
      <c r="AI75" s="155"/>
      <c r="AJ75" s="155"/>
    </row>
    <row r="76" spans="1:36" ht="15.6" customHeight="1" x14ac:dyDescent="0.25">
      <c r="A76" s="677"/>
      <c r="B76" s="284" t="s">
        <v>515</v>
      </c>
      <c r="C76" s="613"/>
      <c r="D76" s="614"/>
      <c r="E76" s="285"/>
      <c r="F76" s="691"/>
      <c r="G76" s="692"/>
      <c r="H76" s="289"/>
      <c r="I76" s="289"/>
      <c r="J76" s="289"/>
      <c r="K76" s="289"/>
      <c r="L76" s="1"/>
      <c r="M76" s="2"/>
      <c r="N76" s="195"/>
      <c r="O76" s="70">
        <f t="shared" si="35"/>
        <v>0</v>
      </c>
      <c r="P76" s="70">
        <f t="shared" si="36"/>
        <v>0</v>
      </c>
      <c r="Q76" s="70">
        <f t="shared" si="22"/>
        <v>0</v>
      </c>
      <c r="R76" s="70">
        <f t="shared" si="37"/>
        <v>0</v>
      </c>
      <c r="S76"/>
      <c r="T76" s="201" t="b">
        <v>1</v>
      </c>
      <c r="U76" s="155"/>
      <c r="V76" s="201" t="str">
        <f t="shared" si="23"/>
        <v>Podnik 9.</v>
      </c>
      <c r="W76" s="202">
        <f t="shared" si="24"/>
        <v>0</v>
      </c>
      <c r="X76" s="201">
        <f t="shared" si="25"/>
        <v>0</v>
      </c>
      <c r="Y76" s="70">
        <f t="shared" si="26"/>
        <v>0</v>
      </c>
      <c r="Z76" s="201">
        <f t="shared" si="27"/>
        <v>0</v>
      </c>
      <c r="AA76" s="201">
        <f t="shared" si="28"/>
        <v>0</v>
      </c>
      <c r="AB76" s="201">
        <f t="shared" si="29"/>
        <v>0</v>
      </c>
      <c r="AC76" s="201">
        <f t="shared" si="30"/>
        <v>0</v>
      </c>
      <c r="AD76" s="201">
        <f t="shared" si="31"/>
        <v>0</v>
      </c>
      <c r="AE76" s="201">
        <f t="shared" si="32"/>
        <v>0</v>
      </c>
      <c r="AF76" s="201">
        <f t="shared" si="33"/>
        <v>0</v>
      </c>
      <c r="AG76" s="201">
        <f t="shared" si="34"/>
        <v>0</v>
      </c>
      <c r="AH76" s="155"/>
      <c r="AI76" s="155"/>
      <c r="AJ76" s="155"/>
    </row>
    <row r="77" spans="1:36" ht="15.6" customHeight="1" x14ac:dyDescent="0.25">
      <c r="A77" s="677"/>
      <c r="B77" s="284" t="s">
        <v>516</v>
      </c>
      <c r="C77" s="613"/>
      <c r="D77" s="614"/>
      <c r="E77" s="285"/>
      <c r="F77" s="691"/>
      <c r="G77" s="692"/>
      <c r="H77" s="289"/>
      <c r="I77" s="289"/>
      <c r="J77" s="289"/>
      <c r="K77" s="289"/>
      <c r="L77" s="1"/>
      <c r="M77" s="2"/>
      <c r="N77" s="195"/>
      <c r="O77" s="70">
        <f t="shared" si="35"/>
        <v>0</v>
      </c>
      <c r="P77" s="70">
        <f t="shared" si="36"/>
        <v>0</v>
      </c>
      <c r="Q77" s="70">
        <f t="shared" si="22"/>
        <v>0</v>
      </c>
      <c r="R77" s="70">
        <f t="shared" si="37"/>
        <v>0</v>
      </c>
      <c r="T77" s="201" t="b">
        <v>1</v>
      </c>
      <c r="V77" s="201" t="str">
        <f t="shared" si="23"/>
        <v>Podnik 10.</v>
      </c>
      <c r="W77" s="202">
        <f t="shared" si="24"/>
        <v>0</v>
      </c>
      <c r="X77" s="201">
        <f t="shared" si="25"/>
        <v>0</v>
      </c>
      <c r="Y77" s="70">
        <f t="shared" si="26"/>
        <v>0</v>
      </c>
      <c r="Z77" s="201">
        <f t="shared" si="27"/>
        <v>0</v>
      </c>
      <c r="AA77" s="201">
        <f t="shared" si="28"/>
        <v>0</v>
      </c>
      <c r="AB77" s="201">
        <f t="shared" si="29"/>
        <v>0</v>
      </c>
      <c r="AC77" s="201">
        <f t="shared" si="30"/>
        <v>0</v>
      </c>
      <c r="AD77" s="201">
        <f t="shared" si="31"/>
        <v>0</v>
      </c>
      <c r="AE77" s="201">
        <f t="shared" si="32"/>
        <v>0</v>
      </c>
      <c r="AF77" s="201">
        <f t="shared" si="33"/>
        <v>0</v>
      </c>
      <c r="AG77" s="201">
        <f t="shared" si="34"/>
        <v>0</v>
      </c>
    </row>
    <row r="78" spans="1:36" ht="15.6" customHeight="1" thickBot="1" x14ac:dyDescent="0.3">
      <c r="A78" s="677"/>
      <c r="B78" s="603" t="s">
        <v>73</v>
      </c>
      <c r="C78" s="604"/>
      <c r="D78" s="605"/>
      <c r="E78" s="203">
        <f>SUM(E68:E77)</f>
        <v>0</v>
      </c>
      <c r="F78" s="693"/>
      <c r="G78" s="694"/>
      <c r="H78" s="191">
        <f t="shared" ref="H78:M78" si="38">SUM(H68:H77)</f>
        <v>0</v>
      </c>
      <c r="I78" s="191">
        <f t="shared" si="38"/>
        <v>0</v>
      </c>
      <c r="J78" s="191">
        <f t="shared" si="38"/>
        <v>0</v>
      </c>
      <c r="K78" s="191">
        <f t="shared" si="38"/>
        <v>0</v>
      </c>
      <c r="L78" s="191">
        <f t="shared" si="38"/>
        <v>0</v>
      </c>
      <c r="M78" s="192">
        <f t="shared" si="38"/>
        <v>0</v>
      </c>
      <c r="N78" s="195"/>
      <c r="P78" s="204">
        <f>SUM(P68:P77)</f>
        <v>0</v>
      </c>
      <c r="S78"/>
      <c r="T78" s="182">
        <f>T68+T69+T70+T71+T72+T73+T74+T75+T76+T77</f>
        <v>4</v>
      </c>
    </row>
    <row r="79" spans="1:36" ht="16.5" thickBot="1" x14ac:dyDescent="0.3">
      <c r="A79" s="677"/>
      <c r="B79" s="194"/>
      <c r="C79" s="583" t="str">
        <f>IF(P78&gt;0,"Ve výše uvedené tabulce je nutné vybrat rok!","")</f>
        <v/>
      </c>
      <c r="D79" s="583"/>
      <c r="E79" s="583"/>
      <c r="F79" s="583"/>
      <c r="G79" s="583"/>
      <c r="H79" s="197"/>
      <c r="I79" s="197"/>
      <c r="J79" s="197"/>
      <c r="K79" s="197"/>
      <c r="L79" s="195"/>
      <c r="M79" s="195"/>
      <c r="N79" s="195"/>
      <c r="S79"/>
      <c r="T79" s="152" t="s">
        <v>409</v>
      </c>
      <c r="V79"/>
      <c r="W79"/>
      <c r="X79"/>
      <c r="Y79"/>
      <c r="Z79"/>
      <c r="AA79"/>
      <c r="AB79"/>
      <c r="AC79"/>
      <c r="AD79"/>
      <c r="AE79"/>
      <c r="AF79"/>
      <c r="AG79"/>
      <c r="AH79"/>
      <c r="AI79"/>
      <c r="AJ79"/>
    </row>
    <row r="80" spans="1:36" ht="19.899999999999999" customHeight="1" x14ac:dyDescent="0.25">
      <c r="A80" s="677"/>
      <c r="B80" s="592" t="str">
        <f>IF($E$12="ANO","NEVYPLŇUJE SE. (Tuto taulku vyplňuje pouze VELKÝ podnikatel.)","Obchodní jméno podniku")</f>
        <v>Obchodní jméno podniku</v>
      </c>
      <c r="C80" s="571" t="s">
        <v>403</v>
      </c>
      <c r="D80" s="572"/>
      <c r="E80" s="651" t="s">
        <v>86</v>
      </c>
      <c r="F80" s="652"/>
      <c r="G80" s="652"/>
      <c r="H80" s="652"/>
      <c r="I80" s="652"/>
      <c r="J80" s="652"/>
      <c r="K80" s="675" t="s">
        <v>87</v>
      </c>
      <c r="L80" s="675"/>
      <c r="M80" s="676"/>
      <c r="N80" s="195"/>
      <c r="S80"/>
      <c r="T80" s="155"/>
      <c r="V80"/>
      <c r="W80"/>
      <c r="X80"/>
      <c r="Y80"/>
      <c r="Z80"/>
      <c r="AA80"/>
      <c r="AB80"/>
      <c r="AC80"/>
      <c r="AD80"/>
      <c r="AE80"/>
      <c r="AF80"/>
      <c r="AG80"/>
      <c r="AH80"/>
      <c r="AI80"/>
      <c r="AJ80"/>
    </row>
    <row r="81" spans="1:33" ht="45" x14ac:dyDescent="0.25">
      <c r="A81" s="677"/>
      <c r="B81" s="593"/>
      <c r="C81" s="573"/>
      <c r="D81" s="574"/>
      <c r="E81" s="183" t="s">
        <v>15</v>
      </c>
      <c r="F81" s="184" t="s">
        <v>30</v>
      </c>
      <c r="G81" s="184" t="s">
        <v>72</v>
      </c>
      <c r="H81" s="184" t="s">
        <v>83</v>
      </c>
      <c r="I81" s="184" t="s">
        <v>81</v>
      </c>
      <c r="J81" s="184" t="s">
        <v>99</v>
      </c>
      <c r="K81" s="171" t="s">
        <v>23</v>
      </c>
      <c r="L81" s="171" t="s">
        <v>25</v>
      </c>
      <c r="M81" s="172" t="s">
        <v>82</v>
      </c>
      <c r="N81" s="195"/>
      <c r="S81"/>
      <c r="T81" s="155"/>
    </row>
    <row r="82" spans="1:33" ht="16.149999999999999" customHeight="1" thickBot="1" x14ac:dyDescent="0.3">
      <c r="A82" s="677"/>
      <c r="B82" s="594"/>
      <c r="C82" s="575"/>
      <c r="D82" s="576"/>
      <c r="E82" s="606" t="str">
        <f>E67</f>
        <v>Uveďte údaje z konsolidované účetní závěrky, je-li k dispozici.</v>
      </c>
      <c r="F82" s="607"/>
      <c r="G82" s="607"/>
      <c r="H82" s="607"/>
      <c r="I82" s="607"/>
      <c r="J82" s="607"/>
      <c r="K82" s="607"/>
      <c r="L82" s="607"/>
      <c r="M82" s="608"/>
      <c r="N82" s="195"/>
      <c r="S82"/>
      <c r="T82" s="155"/>
    </row>
    <row r="83" spans="1:33" ht="15.6" customHeight="1" x14ac:dyDescent="0.25">
      <c r="A83" s="677"/>
      <c r="B83" s="185" t="str">
        <f>IF(B68="Podnik 1.","Vyplní se automaticky",IF(B68="","",B68))</f>
        <v>Vyplní se automaticky</v>
      </c>
      <c r="C83" s="567" t="str">
        <f>IF(C68&gt;20,C68-1,"Vyplní se automaticky")</f>
        <v>Vyplní se automaticky</v>
      </c>
      <c r="D83" s="568"/>
      <c r="E83" s="290"/>
      <c r="F83" s="617" t="s">
        <v>84</v>
      </c>
      <c r="G83" s="661"/>
      <c r="H83" s="661"/>
      <c r="I83" s="618"/>
      <c r="J83" s="289"/>
      <c r="K83" s="289"/>
      <c r="L83" s="1"/>
      <c r="M83" s="2"/>
      <c r="N83" s="195"/>
      <c r="S83"/>
      <c r="T83" s="155"/>
      <c r="Y83" s="186">
        <f t="shared" ref="Y83:Y92" si="39">IF(C83=$T$30,E83,0)</f>
        <v>0</v>
      </c>
      <c r="AA83" s="186">
        <f t="shared" ref="AA83:AA92" si="40">IF(C83=$T$30,J83,0)</f>
        <v>0</v>
      </c>
      <c r="AC83" s="186">
        <f t="shared" ref="AC83:AC92" si="41">IF(C83=$T$30,K83,0)</f>
        <v>0</v>
      </c>
      <c r="AE83" s="186">
        <f t="shared" ref="AE83:AE92" si="42">IF(C83=$T$30,L83,0)</f>
        <v>0</v>
      </c>
      <c r="AG83" s="186">
        <f t="shared" ref="AG83:AG92" si="43">IF(C83=$T$30,M83,0)</f>
        <v>0</v>
      </c>
    </row>
    <row r="84" spans="1:33" ht="15.6" customHeight="1" x14ac:dyDescent="0.25">
      <c r="A84" s="677"/>
      <c r="B84" s="185" t="str">
        <f>IF(OR(B69="Podnik 2.",B69=""),"",B69)</f>
        <v/>
      </c>
      <c r="C84" s="569" t="str">
        <f>IF(C69&gt;20,C69-1,"")</f>
        <v/>
      </c>
      <c r="D84" s="570"/>
      <c r="E84" s="290"/>
      <c r="F84" s="662"/>
      <c r="G84" s="663"/>
      <c r="H84" s="663"/>
      <c r="I84" s="664"/>
      <c r="J84" s="289"/>
      <c r="K84" s="289"/>
      <c r="L84" s="1"/>
      <c r="M84" s="2"/>
      <c r="N84" s="195"/>
      <c r="S84"/>
      <c r="T84" s="155"/>
      <c r="Y84" s="186">
        <f t="shared" si="39"/>
        <v>0</v>
      </c>
      <c r="AA84" s="186">
        <f t="shared" si="40"/>
        <v>0</v>
      </c>
      <c r="AC84" s="186">
        <f t="shared" si="41"/>
        <v>0</v>
      </c>
      <c r="AE84" s="186">
        <f t="shared" si="42"/>
        <v>0</v>
      </c>
      <c r="AG84" s="186">
        <f t="shared" si="43"/>
        <v>0</v>
      </c>
    </row>
    <row r="85" spans="1:33" ht="15.6" customHeight="1" x14ac:dyDescent="0.25">
      <c r="A85" s="677"/>
      <c r="B85" s="185" t="str">
        <f>IF(OR(B70="Podnik 3.",B70=""),"",B70)</f>
        <v/>
      </c>
      <c r="C85" s="569" t="str">
        <f t="shared" ref="C85:C92" si="44">IF(C70&gt;20,C70-1,"")</f>
        <v/>
      </c>
      <c r="D85" s="570"/>
      <c r="E85" s="290"/>
      <c r="F85" s="662"/>
      <c r="G85" s="663"/>
      <c r="H85" s="663"/>
      <c r="I85" s="664"/>
      <c r="J85" s="289"/>
      <c r="K85" s="289"/>
      <c r="L85" s="1"/>
      <c r="M85" s="2"/>
      <c r="N85" s="195"/>
      <c r="S85"/>
      <c r="T85" s="155"/>
      <c r="Y85" s="186">
        <f t="shared" si="39"/>
        <v>0</v>
      </c>
      <c r="AA85" s="186">
        <f t="shared" si="40"/>
        <v>0</v>
      </c>
      <c r="AC85" s="186">
        <f t="shared" si="41"/>
        <v>0</v>
      </c>
      <c r="AE85" s="186">
        <f t="shared" si="42"/>
        <v>0</v>
      </c>
      <c r="AG85" s="186">
        <f t="shared" si="43"/>
        <v>0</v>
      </c>
    </row>
    <row r="86" spans="1:33" ht="15.6" customHeight="1" x14ac:dyDescent="0.25">
      <c r="A86" s="677"/>
      <c r="B86" s="185" t="str">
        <f>IF(OR(B71="Podnik 4.",B71=""),"",B71)</f>
        <v/>
      </c>
      <c r="C86" s="569" t="str">
        <f t="shared" si="44"/>
        <v/>
      </c>
      <c r="D86" s="570"/>
      <c r="E86" s="290"/>
      <c r="F86" s="662"/>
      <c r="G86" s="663"/>
      <c r="H86" s="663"/>
      <c r="I86" s="664"/>
      <c r="J86" s="289"/>
      <c r="K86" s="289"/>
      <c r="L86" s="1"/>
      <c r="M86" s="2"/>
      <c r="N86" s="195"/>
      <c r="S86"/>
      <c r="T86" s="155"/>
      <c r="Y86" s="186">
        <f t="shared" si="39"/>
        <v>0</v>
      </c>
      <c r="AA86" s="186">
        <f t="shared" si="40"/>
        <v>0</v>
      </c>
      <c r="AC86" s="186">
        <f t="shared" si="41"/>
        <v>0</v>
      </c>
      <c r="AE86" s="186">
        <f t="shared" si="42"/>
        <v>0</v>
      </c>
      <c r="AG86" s="186">
        <f t="shared" si="43"/>
        <v>0</v>
      </c>
    </row>
    <row r="87" spans="1:33" ht="15.6" customHeight="1" x14ac:dyDescent="0.25">
      <c r="A87" s="677"/>
      <c r="B87" s="185" t="str">
        <f>IF(OR(B72="Podnik 5.",B72=""),"",B72)</f>
        <v/>
      </c>
      <c r="C87" s="569" t="str">
        <f t="shared" si="44"/>
        <v/>
      </c>
      <c r="D87" s="570"/>
      <c r="E87" s="290"/>
      <c r="F87" s="662"/>
      <c r="G87" s="663"/>
      <c r="H87" s="663"/>
      <c r="I87" s="664"/>
      <c r="J87" s="289"/>
      <c r="K87" s="289"/>
      <c r="L87" s="1"/>
      <c r="M87" s="2"/>
      <c r="N87" s="195"/>
      <c r="S87"/>
      <c r="T87" s="155"/>
      <c r="Y87" s="186">
        <f t="shared" si="39"/>
        <v>0</v>
      </c>
      <c r="AA87" s="186">
        <f t="shared" si="40"/>
        <v>0</v>
      </c>
      <c r="AC87" s="186">
        <f t="shared" si="41"/>
        <v>0</v>
      </c>
      <c r="AE87" s="186">
        <f t="shared" si="42"/>
        <v>0</v>
      </c>
      <c r="AG87" s="186">
        <f t="shared" si="43"/>
        <v>0</v>
      </c>
    </row>
    <row r="88" spans="1:33" ht="15.6" customHeight="1" x14ac:dyDescent="0.25">
      <c r="A88" s="677"/>
      <c r="B88" s="185" t="str">
        <f>IF(OR(B73="Podnik 6.",B73=""),"",B73)</f>
        <v/>
      </c>
      <c r="C88" s="569" t="str">
        <f t="shared" si="44"/>
        <v/>
      </c>
      <c r="D88" s="570"/>
      <c r="E88" s="290"/>
      <c r="F88" s="662"/>
      <c r="G88" s="663"/>
      <c r="H88" s="663"/>
      <c r="I88" s="664"/>
      <c r="J88" s="289"/>
      <c r="K88" s="289"/>
      <c r="L88" s="1"/>
      <c r="M88" s="2"/>
      <c r="N88" s="195"/>
      <c r="S88"/>
      <c r="T88" s="155"/>
      <c r="Y88" s="186">
        <f t="shared" si="39"/>
        <v>0</v>
      </c>
      <c r="AA88" s="186">
        <f t="shared" si="40"/>
        <v>0</v>
      </c>
      <c r="AC88" s="186">
        <f t="shared" si="41"/>
        <v>0</v>
      </c>
      <c r="AE88" s="186">
        <f t="shared" si="42"/>
        <v>0</v>
      </c>
      <c r="AG88" s="186">
        <f t="shared" si="43"/>
        <v>0</v>
      </c>
    </row>
    <row r="89" spans="1:33" ht="15.6" customHeight="1" x14ac:dyDescent="0.25">
      <c r="A89" s="677"/>
      <c r="B89" s="185" t="str">
        <f>IF(OR(B74="Podnik 7.",B74=""),"",B74)</f>
        <v/>
      </c>
      <c r="C89" s="569" t="str">
        <f t="shared" si="44"/>
        <v/>
      </c>
      <c r="D89" s="570"/>
      <c r="E89" s="290"/>
      <c r="F89" s="662"/>
      <c r="G89" s="663"/>
      <c r="H89" s="663"/>
      <c r="I89" s="664"/>
      <c r="J89" s="289"/>
      <c r="K89" s="289"/>
      <c r="L89" s="1"/>
      <c r="M89" s="2"/>
      <c r="N89" s="195"/>
      <c r="S89"/>
      <c r="T89" s="155"/>
      <c r="Y89" s="186">
        <f t="shared" si="39"/>
        <v>0</v>
      </c>
      <c r="AA89" s="186">
        <f t="shared" si="40"/>
        <v>0</v>
      </c>
      <c r="AC89" s="186">
        <f t="shared" si="41"/>
        <v>0</v>
      </c>
      <c r="AE89" s="186">
        <f t="shared" si="42"/>
        <v>0</v>
      </c>
      <c r="AG89" s="186">
        <f t="shared" si="43"/>
        <v>0</v>
      </c>
    </row>
    <row r="90" spans="1:33" ht="15.6" customHeight="1" x14ac:dyDescent="0.25">
      <c r="A90" s="677"/>
      <c r="B90" s="185" t="str">
        <f>IF(OR(B75="Podnik 8.",B75=""),"",B75)</f>
        <v/>
      </c>
      <c r="C90" s="569" t="str">
        <f t="shared" si="44"/>
        <v/>
      </c>
      <c r="D90" s="570"/>
      <c r="E90" s="290"/>
      <c r="F90" s="662"/>
      <c r="G90" s="663"/>
      <c r="H90" s="663"/>
      <c r="I90" s="664"/>
      <c r="J90" s="289"/>
      <c r="K90" s="289"/>
      <c r="L90" s="1"/>
      <c r="M90" s="2"/>
      <c r="N90" s="195"/>
      <c r="S90"/>
      <c r="T90" s="155"/>
      <c r="Y90" s="186">
        <f t="shared" si="39"/>
        <v>0</v>
      </c>
      <c r="AA90" s="186">
        <f t="shared" si="40"/>
        <v>0</v>
      </c>
      <c r="AC90" s="186">
        <f t="shared" si="41"/>
        <v>0</v>
      </c>
      <c r="AE90" s="186">
        <f t="shared" si="42"/>
        <v>0</v>
      </c>
      <c r="AG90" s="186">
        <f t="shared" si="43"/>
        <v>0</v>
      </c>
    </row>
    <row r="91" spans="1:33" ht="15.6" customHeight="1" x14ac:dyDescent="0.25">
      <c r="A91" s="677"/>
      <c r="B91" s="185" t="str">
        <f>IF(OR(B76="Podnik 9.",B76=""),"",B76)</f>
        <v/>
      </c>
      <c r="C91" s="569" t="str">
        <f t="shared" si="44"/>
        <v/>
      </c>
      <c r="D91" s="570"/>
      <c r="E91" s="290"/>
      <c r="F91" s="662"/>
      <c r="G91" s="663"/>
      <c r="H91" s="663"/>
      <c r="I91" s="664"/>
      <c r="J91" s="289"/>
      <c r="K91" s="289"/>
      <c r="L91" s="1"/>
      <c r="M91" s="2"/>
      <c r="N91" s="195"/>
      <c r="S91"/>
      <c r="T91" s="155"/>
      <c r="Y91" s="186">
        <f t="shared" si="39"/>
        <v>0</v>
      </c>
      <c r="AA91" s="186">
        <f t="shared" si="40"/>
        <v>0</v>
      </c>
      <c r="AC91" s="186">
        <f t="shared" si="41"/>
        <v>0</v>
      </c>
      <c r="AE91" s="186">
        <f t="shared" si="42"/>
        <v>0</v>
      </c>
      <c r="AG91" s="186">
        <f t="shared" si="43"/>
        <v>0</v>
      </c>
    </row>
    <row r="92" spans="1:33" ht="15.6" customHeight="1" x14ac:dyDescent="0.25">
      <c r="A92" s="677"/>
      <c r="B92" s="185" t="str">
        <f>IF(OR(B77="Podnik 10.",B77=""),"",B77)</f>
        <v/>
      </c>
      <c r="C92" s="569" t="str">
        <f t="shared" si="44"/>
        <v/>
      </c>
      <c r="D92" s="570"/>
      <c r="E92" s="290"/>
      <c r="F92" s="662"/>
      <c r="G92" s="663"/>
      <c r="H92" s="663"/>
      <c r="I92" s="664"/>
      <c r="J92" s="289"/>
      <c r="K92" s="289"/>
      <c r="L92" s="1"/>
      <c r="M92" s="2"/>
      <c r="N92" s="195"/>
      <c r="S92"/>
      <c r="T92" s="155"/>
      <c r="Y92" s="186">
        <f t="shared" si="39"/>
        <v>0</v>
      </c>
      <c r="AA92" s="186">
        <f t="shared" si="40"/>
        <v>0</v>
      </c>
      <c r="AC92" s="186">
        <f t="shared" si="41"/>
        <v>0</v>
      </c>
      <c r="AE92" s="186">
        <f t="shared" si="42"/>
        <v>0</v>
      </c>
      <c r="AG92" s="186">
        <f t="shared" si="43"/>
        <v>0</v>
      </c>
    </row>
    <row r="93" spans="1:33" ht="15.6" customHeight="1" thickBot="1" x14ac:dyDescent="0.3">
      <c r="A93" s="198"/>
      <c r="B93" s="187" t="s">
        <v>73</v>
      </c>
      <c r="C93" s="188"/>
      <c r="D93" s="189"/>
      <c r="E93" s="190">
        <f>SUM(E83:E92)</f>
        <v>0</v>
      </c>
      <c r="F93" s="665"/>
      <c r="G93" s="666"/>
      <c r="H93" s="666"/>
      <c r="I93" s="667"/>
      <c r="J93" s="191">
        <f>SUM(J83:J92)</f>
        <v>0</v>
      </c>
      <c r="K93" s="191">
        <f>SUM(K83:K92)</f>
        <v>0</v>
      </c>
      <c r="L93" s="191">
        <f>SUM(L83:L92)</f>
        <v>0</v>
      </c>
      <c r="M93" s="192">
        <f>SUM(M83:M92)</f>
        <v>0</v>
      </c>
      <c r="N93" s="195"/>
      <c r="S93"/>
      <c r="T93" s="155"/>
    </row>
    <row r="94" spans="1:33" ht="20.25" customHeight="1" x14ac:dyDescent="0.25">
      <c r="A94" s="193"/>
      <c r="B94" s="194"/>
      <c r="C94" s="194"/>
      <c r="D94" s="195"/>
      <c r="E94" s="195"/>
      <c r="F94" s="194"/>
      <c r="G94" s="196"/>
      <c r="H94" s="197"/>
      <c r="I94" s="197"/>
      <c r="J94" s="197"/>
      <c r="K94" s="197"/>
      <c r="L94" s="195"/>
      <c r="M94" s="195"/>
      <c r="N94" s="195"/>
      <c r="S94"/>
      <c r="T94" s="152" t="s">
        <v>432</v>
      </c>
      <c r="U94"/>
    </row>
    <row r="95" spans="1:33" ht="20.25" customHeight="1" thickBot="1" x14ac:dyDescent="0.3">
      <c r="A95" s="205"/>
      <c r="B95" s="206"/>
      <c r="C95" s="206"/>
      <c r="D95" s="207"/>
      <c r="E95" s="207"/>
      <c r="F95" s="206"/>
      <c r="G95" s="208"/>
      <c r="H95" s="209"/>
      <c r="I95" s="209"/>
      <c r="J95" s="209"/>
      <c r="K95" s="209"/>
      <c r="L95" s="207"/>
      <c r="M95" s="207"/>
      <c r="N95" s="207"/>
      <c r="S95"/>
      <c r="T95" s="210" t="str">
        <f>Výpočty!B61</f>
        <v>Chyba v části I.</v>
      </c>
    </row>
    <row r="96" spans="1:33" ht="30" customHeight="1" x14ac:dyDescent="0.25">
      <c r="A96" s="695" t="s">
        <v>423</v>
      </c>
      <c r="B96" s="703" t="s">
        <v>372</v>
      </c>
      <c r="C96" s="704"/>
      <c r="D96" s="707" t="str">
        <f>IF(AND(E11="Ano",E13="Ano"),"","Podniky (právnické osoby), které vedou účetnictví a nemají ZK ani minimální kapitálový požadavek a žádný ze společníků neručí plně za závazky.")</f>
        <v>Podniky (právnické osoby), které vedou účetnictví a nemají ZK ani minimální kapitálový požadavek a žádný ze společníků neručí plně za závazky.</v>
      </c>
      <c r="E96" s="707"/>
      <c r="F96" s="707"/>
      <c r="G96" s="707"/>
      <c r="H96" s="707"/>
      <c r="I96" s="707"/>
      <c r="J96" s="707"/>
      <c r="K96" s="707"/>
      <c r="L96" s="707"/>
      <c r="M96" s="708"/>
      <c r="N96" s="207"/>
      <c r="S96"/>
      <c r="T96" s="72" t="s">
        <v>433</v>
      </c>
    </row>
    <row r="97" spans="1:37" ht="27.75" customHeight="1" thickBot="1" x14ac:dyDescent="0.3">
      <c r="A97" s="695"/>
      <c r="B97" s="705"/>
      <c r="C97" s="706"/>
      <c r="D97" s="709" t="str">
        <f>IF(AND(E11="Ano",E13="Ano"),"","Podniky, které vedou jednoduché účetnictví, nebo daňovou evidenci, a ani jeden ze společníků neručí plně za závazky (bez ohledu na ZK nebo min. kap požadavek).")</f>
        <v>Podniky, které vedou jednoduché účetnictví, nebo daňovou evidenci, a ani jeden ze společníků neručí plně za závazky (bez ohledu na ZK nebo min. kap požadavek).</v>
      </c>
      <c r="E97" s="710"/>
      <c r="F97" s="710"/>
      <c r="G97" s="710"/>
      <c r="H97" s="710"/>
      <c r="I97" s="710"/>
      <c r="J97" s="710"/>
      <c r="K97" s="710"/>
      <c r="L97" s="710"/>
      <c r="M97" s="711"/>
      <c r="N97" s="207"/>
      <c r="S97"/>
      <c r="T97" s="210" t="str">
        <f>Výpočty!B62</f>
        <v>Chyba v části I.</v>
      </c>
    </row>
    <row r="98" spans="1:37" ht="19.899999999999999" customHeight="1" x14ac:dyDescent="0.25">
      <c r="A98" s="695"/>
      <c r="B98" s="556" t="str">
        <f>B31</f>
        <v>Obchodní jméno podniku</v>
      </c>
      <c r="C98" s="558" t="s">
        <v>503</v>
      </c>
      <c r="D98" s="559"/>
      <c r="E98" s="585" t="s">
        <v>499</v>
      </c>
      <c r="F98" s="586"/>
      <c r="G98" s="586"/>
      <c r="H98" s="586"/>
      <c r="I98" s="586"/>
      <c r="J98" s="212"/>
      <c r="K98" s="696" t="s">
        <v>87</v>
      </c>
      <c r="L98" s="697"/>
      <c r="M98" s="698"/>
      <c r="N98" s="207"/>
      <c r="S98"/>
      <c r="V98"/>
      <c r="W98"/>
      <c r="X98"/>
      <c r="Y98"/>
      <c r="Z98"/>
      <c r="AA98"/>
      <c r="AB98"/>
      <c r="AC98"/>
      <c r="AD98"/>
      <c r="AE98"/>
      <c r="AF98"/>
      <c r="AG98"/>
      <c r="AH98"/>
      <c r="AI98"/>
      <c r="AJ98"/>
      <c r="AK98"/>
    </row>
    <row r="99" spans="1:37" ht="45" x14ac:dyDescent="0.25">
      <c r="A99" s="695"/>
      <c r="B99" s="557"/>
      <c r="C99" s="560"/>
      <c r="D99" s="561"/>
      <c r="E99" s="213" t="s">
        <v>15</v>
      </c>
      <c r="F99" s="214" t="s">
        <v>30</v>
      </c>
      <c r="G99" s="214" t="s">
        <v>72</v>
      </c>
      <c r="H99" s="214" t="s">
        <v>83</v>
      </c>
      <c r="I99" s="214" t="s">
        <v>81</v>
      </c>
      <c r="J99" s="214" t="s">
        <v>99</v>
      </c>
      <c r="K99" s="215" t="s">
        <v>23</v>
      </c>
      <c r="L99" s="215" t="s">
        <v>25</v>
      </c>
      <c r="M99" s="216" t="s">
        <v>82</v>
      </c>
      <c r="N99" s="207"/>
      <c r="S99"/>
      <c r="V99"/>
      <c r="W99"/>
      <c r="X99"/>
      <c r="Y99"/>
      <c r="Z99"/>
      <c r="AA99"/>
      <c r="AB99"/>
      <c r="AC99"/>
      <c r="AD99"/>
      <c r="AE99"/>
      <c r="AF99"/>
      <c r="AG99"/>
      <c r="AH99"/>
      <c r="AI99"/>
      <c r="AJ99"/>
      <c r="AK99"/>
    </row>
    <row r="100" spans="1:37" ht="20.100000000000001" customHeight="1" thickBot="1" x14ac:dyDescent="0.3">
      <c r="A100" s="695"/>
      <c r="B100" s="562" t="s">
        <v>419</v>
      </c>
      <c r="C100" s="563"/>
      <c r="D100" s="564"/>
      <c r="E100" s="699" t="str">
        <f>E82</f>
        <v>Uveďte údaje z konsolidované účetní závěrky, je-li k dispozici.</v>
      </c>
      <c r="F100" s="700"/>
      <c r="G100" s="700"/>
      <c r="H100" s="700"/>
      <c r="I100" s="700"/>
      <c r="J100" s="700"/>
      <c r="K100" s="700"/>
      <c r="L100" s="700"/>
      <c r="M100" s="701"/>
      <c r="N100" s="207"/>
      <c r="O100" s="173" t="s">
        <v>486</v>
      </c>
      <c r="P100" s="173" t="s">
        <v>487</v>
      </c>
      <c r="T100" s="152" t="s">
        <v>411</v>
      </c>
      <c r="V100" s="217" t="s">
        <v>434</v>
      </c>
      <c r="W100" s="217"/>
      <c r="X100"/>
      <c r="Y100"/>
      <c r="Z100"/>
      <c r="AA100"/>
      <c r="AB100"/>
      <c r="AC100"/>
      <c r="AD100"/>
      <c r="AE100"/>
      <c r="AF100"/>
      <c r="AG100"/>
      <c r="AH100"/>
      <c r="AI100"/>
      <c r="AJ100"/>
      <c r="AK100"/>
    </row>
    <row r="101" spans="1:37" ht="15.6" customHeight="1" x14ac:dyDescent="0.25">
      <c r="A101" s="695"/>
      <c r="B101" s="291" t="s">
        <v>507</v>
      </c>
      <c r="C101" s="717"/>
      <c r="D101" s="718"/>
      <c r="E101" s="292"/>
      <c r="F101" s="714" t="s">
        <v>84</v>
      </c>
      <c r="G101" s="714"/>
      <c r="H101" s="714"/>
      <c r="I101" s="714"/>
      <c r="J101" s="295"/>
      <c r="K101" s="295"/>
      <c r="L101" s="295"/>
      <c r="M101" s="296"/>
      <c r="N101" s="207"/>
      <c r="O101" s="70">
        <f>IF(OR(E101&lt;&gt;0,J101&lt;&gt;0,K101&lt;&gt;0,L101&lt;&gt;0,M101&lt;&gt;0),1,0)</f>
        <v>0</v>
      </c>
      <c r="P101" s="70">
        <f>IF(AND(C101="",O101=1),1,0)</f>
        <v>0</v>
      </c>
      <c r="Q101" s="70">
        <f t="shared" ref="Q101:Q110" si="45">IF(C101=$T$28,1,0)</f>
        <v>0</v>
      </c>
      <c r="R101" s="70">
        <f>IF(C101=$T$30,1,0)</f>
        <v>0</v>
      </c>
      <c r="S101"/>
      <c r="T101" s="201" t="b">
        <v>0</v>
      </c>
      <c r="V101" s="70" t="str">
        <f t="shared" ref="V101:V110" si="46">B101</f>
        <v>Podnik 1.</v>
      </c>
      <c r="W101" s="218">
        <f t="shared" ref="W101:W110" si="47">IF(C101="",0,IF(C101=$T$28,0,1))</f>
        <v>0</v>
      </c>
      <c r="X101" s="70">
        <f t="shared" ref="X101:X110" si="48">IF(C101=$T$28,E101,0)</f>
        <v>0</v>
      </c>
      <c r="Y101" s="70">
        <f t="shared" ref="Y101:Y110" si="49">IF(C101=$T$30,E101,0)</f>
        <v>0</v>
      </c>
      <c r="Z101" s="70">
        <f t="shared" ref="Z101:Z110" si="50">IF(C101=$T$28,J101,0)</f>
        <v>0</v>
      </c>
      <c r="AA101" s="70">
        <f t="shared" ref="AA101:AA110" si="51">IF(C101=$T$30,J101,0)</f>
        <v>0</v>
      </c>
      <c r="AB101" s="70">
        <f t="shared" ref="AB101:AB110" si="52">IF(C101=$T$28,K101,0)</f>
        <v>0</v>
      </c>
      <c r="AC101" s="70">
        <f t="shared" ref="AC101:AC110" si="53">IF(C101=$T$30,K101,0)</f>
        <v>0</v>
      </c>
      <c r="AD101" s="70">
        <f t="shared" ref="AD101:AD110" si="54">IF(C101=$T$28,L101,0)</f>
        <v>0</v>
      </c>
      <c r="AE101" s="70">
        <f t="shared" ref="AE101:AE110" si="55">IF(C101=$T$30,L101,0)</f>
        <v>0</v>
      </c>
      <c r="AF101" s="70">
        <f t="shared" ref="AF101:AF110" si="56">IF(C101=$T$28,M101,0)</f>
        <v>0</v>
      </c>
      <c r="AG101" s="70">
        <f t="shared" ref="AG101:AG110" si="57">IF(C101=$T$30,M101,0)</f>
        <v>0</v>
      </c>
      <c r="AH101"/>
      <c r="AI101"/>
      <c r="AJ101"/>
      <c r="AK101"/>
    </row>
    <row r="102" spans="1:37" ht="15.6" customHeight="1" x14ac:dyDescent="0.25">
      <c r="A102" s="695"/>
      <c r="B102" s="293" t="s">
        <v>508</v>
      </c>
      <c r="C102" s="712"/>
      <c r="D102" s="713"/>
      <c r="E102" s="292"/>
      <c r="F102" s="715"/>
      <c r="G102" s="715"/>
      <c r="H102" s="715"/>
      <c r="I102" s="715"/>
      <c r="J102" s="297"/>
      <c r="K102" s="297"/>
      <c r="L102" s="295"/>
      <c r="M102" s="296"/>
      <c r="N102" s="207"/>
      <c r="O102" s="70">
        <f t="shared" ref="O102:O110" si="58">IF(OR(E102&lt;&gt;0,J102&lt;&gt;0,K102&lt;&gt;0,L102&lt;&gt;0,M102&lt;&gt;0),1,0)</f>
        <v>0</v>
      </c>
      <c r="P102" s="70">
        <f t="shared" ref="P102:P110" si="59">IF(AND(C102="",O102=1),1,0)</f>
        <v>0</v>
      </c>
      <c r="Q102" s="70">
        <f t="shared" si="45"/>
        <v>0</v>
      </c>
      <c r="R102" s="70">
        <f t="shared" ref="R102:R110" si="60">IF(C102=$T$30,1,0)</f>
        <v>0</v>
      </c>
      <c r="S102"/>
      <c r="T102" s="201" t="b">
        <v>1</v>
      </c>
      <c r="V102" s="70" t="str">
        <f t="shared" si="46"/>
        <v>Podnik 2.</v>
      </c>
      <c r="W102" s="218">
        <f t="shared" si="47"/>
        <v>0</v>
      </c>
      <c r="X102" s="70">
        <f t="shared" si="48"/>
        <v>0</v>
      </c>
      <c r="Y102" s="70">
        <f t="shared" si="49"/>
        <v>0</v>
      </c>
      <c r="Z102" s="70">
        <f t="shared" si="50"/>
        <v>0</v>
      </c>
      <c r="AA102" s="70">
        <f t="shared" si="51"/>
        <v>0</v>
      </c>
      <c r="AB102" s="70">
        <f t="shared" si="52"/>
        <v>0</v>
      </c>
      <c r="AC102" s="70">
        <f t="shared" si="53"/>
        <v>0</v>
      </c>
      <c r="AD102" s="70">
        <f t="shared" si="54"/>
        <v>0</v>
      </c>
      <c r="AE102" s="70">
        <f t="shared" si="55"/>
        <v>0</v>
      </c>
      <c r="AF102" s="70">
        <f t="shared" si="56"/>
        <v>0</v>
      </c>
      <c r="AG102" s="70">
        <f t="shared" si="57"/>
        <v>0</v>
      </c>
      <c r="AH102"/>
      <c r="AI102"/>
      <c r="AJ102"/>
      <c r="AK102"/>
    </row>
    <row r="103" spans="1:37" ht="15.6" customHeight="1" x14ac:dyDescent="0.25">
      <c r="A103" s="695"/>
      <c r="B103" s="293" t="s">
        <v>509</v>
      </c>
      <c r="C103" s="712"/>
      <c r="D103" s="713"/>
      <c r="E103" s="292"/>
      <c r="F103" s="715"/>
      <c r="G103" s="715"/>
      <c r="H103" s="715"/>
      <c r="I103" s="715"/>
      <c r="J103" s="297"/>
      <c r="K103" s="297"/>
      <c r="L103" s="295"/>
      <c r="M103" s="296"/>
      <c r="N103" s="207"/>
      <c r="O103" s="70">
        <f t="shared" si="58"/>
        <v>0</v>
      </c>
      <c r="P103" s="70">
        <f t="shared" si="59"/>
        <v>0</v>
      </c>
      <c r="Q103" s="70">
        <f t="shared" si="45"/>
        <v>0</v>
      </c>
      <c r="R103" s="70">
        <f t="shared" si="60"/>
        <v>0</v>
      </c>
      <c r="S103"/>
      <c r="T103" s="201" t="b">
        <v>0</v>
      </c>
      <c r="V103" s="70" t="str">
        <f t="shared" si="46"/>
        <v>Podnik 3.</v>
      </c>
      <c r="W103" s="218">
        <f t="shared" si="47"/>
        <v>0</v>
      </c>
      <c r="X103" s="70">
        <f t="shared" si="48"/>
        <v>0</v>
      </c>
      <c r="Y103" s="70">
        <f t="shared" si="49"/>
        <v>0</v>
      </c>
      <c r="Z103" s="70">
        <f t="shared" si="50"/>
        <v>0</v>
      </c>
      <c r="AA103" s="70">
        <f t="shared" si="51"/>
        <v>0</v>
      </c>
      <c r="AB103" s="70">
        <f t="shared" si="52"/>
        <v>0</v>
      </c>
      <c r="AC103" s="70">
        <f t="shared" si="53"/>
        <v>0</v>
      </c>
      <c r="AD103" s="70">
        <f t="shared" si="54"/>
        <v>0</v>
      </c>
      <c r="AE103" s="70">
        <f t="shared" si="55"/>
        <v>0</v>
      </c>
      <c r="AF103" s="70">
        <f t="shared" si="56"/>
        <v>0</v>
      </c>
      <c r="AG103" s="70">
        <f t="shared" si="57"/>
        <v>0</v>
      </c>
      <c r="AH103"/>
      <c r="AI103"/>
      <c r="AJ103"/>
      <c r="AK103"/>
    </row>
    <row r="104" spans="1:37" ht="15.6" customHeight="1" x14ac:dyDescent="0.25">
      <c r="A104" s="695"/>
      <c r="B104" s="293" t="s">
        <v>510</v>
      </c>
      <c r="C104" s="712"/>
      <c r="D104" s="713"/>
      <c r="E104" s="292"/>
      <c r="F104" s="715"/>
      <c r="G104" s="715"/>
      <c r="H104" s="715"/>
      <c r="I104" s="715"/>
      <c r="J104" s="297"/>
      <c r="K104" s="297"/>
      <c r="L104" s="295"/>
      <c r="M104" s="296"/>
      <c r="N104" s="207"/>
      <c r="O104" s="70">
        <f t="shared" si="58"/>
        <v>0</v>
      </c>
      <c r="P104" s="70">
        <f t="shared" si="59"/>
        <v>0</v>
      </c>
      <c r="Q104" s="70">
        <f t="shared" si="45"/>
        <v>0</v>
      </c>
      <c r="R104" s="70">
        <f t="shared" si="60"/>
        <v>0</v>
      </c>
      <c r="S104"/>
      <c r="T104" s="201" t="b">
        <v>1</v>
      </c>
      <c r="V104" s="70" t="str">
        <f t="shared" si="46"/>
        <v>Podnik 4.</v>
      </c>
      <c r="W104" s="218">
        <f t="shared" si="47"/>
        <v>0</v>
      </c>
      <c r="X104" s="70">
        <f t="shared" si="48"/>
        <v>0</v>
      </c>
      <c r="Y104" s="70">
        <f t="shared" si="49"/>
        <v>0</v>
      </c>
      <c r="Z104" s="70">
        <f t="shared" si="50"/>
        <v>0</v>
      </c>
      <c r="AA104" s="70">
        <f t="shared" si="51"/>
        <v>0</v>
      </c>
      <c r="AB104" s="70">
        <f t="shared" si="52"/>
        <v>0</v>
      </c>
      <c r="AC104" s="70">
        <f t="shared" si="53"/>
        <v>0</v>
      </c>
      <c r="AD104" s="70">
        <f t="shared" si="54"/>
        <v>0</v>
      </c>
      <c r="AE104" s="70">
        <f t="shared" si="55"/>
        <v>0</v>
      </c>
      <c r="AF104" s="70">
        <f t="shared" si="56"/>
        <v>0</v>
      </c>
      <c r="AG104" s="70">
        <f t="shared" si="57"/>
        <v>0</v>
      </c>
      <c r="AH104"/>
      <c r="AI104"/>
      <c r="AJ104"/>
      <c r="AK104"/>
    </row>
    <row r="105" spans="1:37" ht="15.6" customHeight="1" x14ac:dyDescent="0.25">
      <c r="A105" s="695"/>
      <c r="B105" s="293" t="s">
        <v>511</v>
      </c>
      <c r="C105" s="712"/>
      <c r="D105" s="713"/>
      <c r="E105" s="292"/>
      <c r="F105" s="715"/>
      <c r="G105" s="715"/>
      <c r="H105" s="715"/>
      <c r="I105" s="715"/>
      <c r="J105" s="297"/>
      <c r="K105" s="297"/>
      <c r="L105" s="295"/>
      <c r="M105" s="296"/>
      <c r="N105" s="207"/>
      <c r="O105" s="70">
        <f t="shared" si="58"/>
        <v>0</v>
      </c>
      <c r="P105" s="70">
        <f t="shared" si="59"/>
        <v>0</v>
      </c>
      <c r="Q105" s="70">
        <f t="shared" si="45"/>
        <v>0</v>
      </c>
      <c r="R105" s="70">
        <f t="shared" si="60"/>
        <v>0</v>
      </c>
      <c r="S105"/>
      <c r="T105" s="201" t="b">
        <v>1</v>
      </c>
      <c r="V105" s="70" t="str">
        <f t="shared" si="46"/>
        <v>Podnik 5.</v>
      </c>
      <c r="W105" s="218">
        <f t="shared" si="47"/>
        <v>0</v>
      </c>
      <c r="X105" s="70">
        <f t="shared" si="48"/>
        <v>0</v>
      </c>
      <c r="Y105" s="70">
        <f t="shared" si="49"/>
        <v>0</v>
      </c>
      <c r="Z105" s="70">
        <f t="shared" si="50"/>
        <v>0</v>
      </c>
      <c r="AA105" s="70">
        <f t="shared" si="51"/>
        <v>0</v>
      </c>
      <c r="AB105" s="70">
        <f t="shared" si="52"/>
        <v>0</v>
      </c>
      <c r="AC105" s="70">
        <f t="shared" si="53"/>
        <v>0</v>
      </c>
      <c r="AD105" s="70">
        <f t="shared" si="54"/>
        <v>0</v>
      </c>
      <c r="AE105" s="70">
        <f t="shared" si="55"/>
        <v>0</v>
      </c>
      <c r="AF105" s="70">
        <f t="shared" si="56"/>
        <v>0</v>
      </c>
      <c r="AG105" s="70">
        <f t="shared" si="57"/>
        <v>0</v>
      </c>
      <c r="AH105"/>
      <c r="AI105"/>
      <c r="AJ105"/>
      <c r="AK105"/>
    </row>
    <row r="106" spans="1:37" ht="15.6" customHeight="1" x14ac:dyDescent="0.25">
      <c r="A106" s="695"/>
      <c r="B106" s="293" t="s">
        <v>512</v>
      </c>
      <c r="C106" s="712"/>
      <c r="D106" s="713"/>
      <c r="E106" s="292"/>
      <c r="F106" s="715"/>
      <c r="G106" s="715"/>
      <c r="H106" s="715"/>
      <c r="I106" s="715"/>
      <c r="J106" s="297"/>
      <c r="K106" s="297"/>
      <c r="L106" s="295"/>
      <c r="M106" s="296"/>
      <c r="N106" s="207"/>
      <c r="O106" s="70">
        <f t="shared" si="58"/>
        <v>0</v>
      </c>
      <c r="P106" s="70">
        <f t="shared" si="59"/>
        <v>0</v>
      </c>
      <c r="Q106" s="70">
        <f t="shared" si="45"/>
        <v>0</v>
      </c>
      <c r="R106" s="70">
        <f t="shared" si="60"/>
        <v>0</v>
      </c>
      <c r="S106"/>
      <c r="T106" s="201" t="b">
        <v>1</v>
      </c>
      <c r="V106" s="70" t="str">
        <f t="shared" si="46"/>
        <v>Podnik 6.</v>
      </c>
      <c r="W106" s="218">
        <f t="shared" si="47"/>
        <v>0</v>
      </c>
      <c r="X106" s="70">
        <f t="shared" si="48"/>
        <v>0</v>
      </c>
      <c r="Y106" s="70">
        <f t="shared" si="49"/>
        <v>0</v>
      </c>
      <c r="Z106" s="70">
        <f t="shared" si="50"/>
        <v>0</v>
      </c>
      <c r="AA106" s="70">
        <f t="shared" si="51"/>
        <v>0</v>
      </c>
      <c r="AB106" s="70">
        <f t="shared" si="52"/>
        <v>0</v>
      </c>
      <c r="AC106" s="70">
        <f t="shared" si="53"/>
        <v>0</v>
      </c>
      <c r="AD106" s="70">
        <f t="shared" si="54"/>
        <v>0</v>
      </c>
      <c r="AE106" s="70">
        <f t="shared" si="55"/>
        <v>0</v>
      </c>
      <c r="AF106" s="70">
        <f t="shared" si="56"/>
        <v>0</v>
      </c>
      <c r="AG106" s="70">
        <f t="shared" si="57"/>
        <v>0</v>
      </c>
      <c r="AH106"/>
      <c r="AI106"/>
      <c r="AJ106"/>
      <c r="AK106"/>
    </row>
    <row r="107" spans="1:37" ht="15.6" customHeight="1" x14ac:dyDescent="0.25">
      <c r="A107" s="695"/>
      <c r="B107" s="293" t="s">
        <v>513</v>
      </c>
      <c r="C107" s="712"/>
      <c r="D107" s="713"/>
      <c r="E107" s="292"/>
      <c r="F107" s="715"/>
      <c r="G107" s="715"/>
      <c r="H107" s="715"/>
      <c r="I107" s="715"/>
      <c r="J107" s="297"/>
      <c r="K107" s="297"/>
      <c r="L107" s="295"/>
      <c r="M107" s="296"/>
      <c r="N107" s="207"/>
      <c r="O107" s="70">
        <f t="shared" si="58"/>
        <v>0</v>
      </c>
      <c r="P107" s="70">
        <f t="shared" si="59"/>
        <v>0</v>
      </c>
      <c r="Q107" s="70">
        <f t="shared" si="45"/>
        <v>0</v>
      </c>
      <c r="R107" s="70">
        <f t="shared" si="60"/>
        <v>0</v>
      </c>
      <c r="S107"/>
      <c r="T107" s="201" t="b">
        <v>1</v>
      </c>
      <c r="V107" s="70" t="str">
        <f t="shared" si="46"/>
        <v>Podnik 7.</v>
      </c>
      <c r="W107" s="218">
        <f t="shared" si="47"/>
        <v>0</v>
      </c>
      <c r="X107" s="70">
        <f t="shared" si="48"/>
        <v>0</v>
      </c>
      <c r="Y107" s="70">
        <f t="shared" si="49"/>
        <v>0</v>
      </c>
      <c r="Z107" s="70">
        <f t="shared" si="50"/>
        <v>0</v>
      </c>
      <c r="AA107" s="70">
        <f t="shared" si="51"/>
        <v>0</v>
      </c>
      <c r="AB107" s="70">
        <f t="shared" si="52"/>
        <v>0</v>
      </c>
      <c r="AC107" s="70">
        <f t="shared" si="53"/>
        <v>0</v>
      </c>
      <c r="AD107" s="70">
        <f t="shared" si="54"/>
        <v>0</v>
      </c>
      <c r="AE107" s="70">
        <f t="shared" si="55"/>
        <v>0</v>
      </c>
      <c r="AF107" s="70">
        <f t="shared" si="56"/>
        <v>0</v>
      </c>
      <c r="AG107" s="70">
        <f t="shared" si="57"/>
        <v>0</v>
      </c>
      <c r="AH107"/>
      <c r="AI107"/>
      <c r="AJ107"/>
      <c r="AK107"/>
    </row>
    <row r="108" spans="1:37" ht="15.6" customHeight="1" x14ac:dyDescent="0.25">
      <c r="A108" s="695"/>
      <c r="B108" s="293" t="s">
        <v>514</v>
      </c>
      <c r="C108" s="712"/>
      <c r="D108" s="713"/>
      <c r="E108" s="292"/>
      <c r="F108" s="715"/>
      <c r="G108" s="715"/>
      <c r="H108" s="715"/>
      <c r="I108" s="715"/>
      <c r="J108" s="297"/>
      <c r="K108" s="297"/>
      <c r="L108" s="295"/>
      <c r="M108" s="296"/>
      <c r="N108" s="207"/>
      <c r="O108" s="70">
        <f t="shared" si="58"/>
        <v>0</v>
      </c>
      <c r="P108" s="70">
        <f t="shared" si="59"/>
        <v>0</v>
      </c>
      <c r="Q108" s="70">
        <f t="shared" si="45"/>
        <v>0</v>
      </c>
      <c r="R108" s="70">
        <f t="shared" si="60"/>
        <v>0</v>
      </c>
      <c r="S108"/>
      <c r="T108" s="201" t="b">
        <v>1</v>
      </c>
      <c r="V108" s="70" t="str">
        <f t="shared" si="46"/>
        <v>Podnik 8.</v>
      </c>
      <c r="W108" s="218">
        <f t="shared" si="47"/>
        <v>0</v>
      </c>
      <c r="X108" s="70">
        <f t="shared" si="48"/>
        <v>0</v>
      </c>
      <c r="Y108" s="70">
        <f t="shared" si="49"/>
        <v>0</v>
      </c>
      <c r="Z108" s="70">
        <f t="shared" si="50"/>
        <v>0</v>
      </c>
      <c r="AA108" s="70">
        <f t="shared" si="51"/>
        <v>0</v>
      </c>
      <c r="AB108" s="70">
        <f t="shared" si="52"/>
        <v>0</v>
      </c>
      <c r="AC108" s="70">
        <f t="shared" si="53"/>
        <v>0</v>
      </c>
      <c r="AD108" s="70">
        <f t="shared" si="54"/>
        <v>0</v>
      </c>
      <c r="AE108" s="70">
        <f t="shared" si="55"/>
        <v>0</v>
      </c>
      <c r="AF108" s="70">
        <f t="shared" si="56"/>
        <v>0</v>
      </c>
      <c r="AG108" s="70">
        <f t="shared" si="57"/>
        <v>0</v>
      </c>
      <c r="AH108"/>
      <c r="AI108"/>
      <c r="AJ108"/>
      <c r="AK108"/>
    </row>
    <row r="109" spans="1:37" ht="15.6" customHeight="1" x14ac:dyDescent="0.25">
      <c r="A109" s="695"/>
      <c r="B109" s="293" t="s">
        <v>515</v>
      </c>
      <c r="C109" s="712"/>
      <c r="D109" s="713"/>
      <c r="E109" s="292"/>
      <c r="F109" s="715"/>
      <c r="G109" s="715"/>
      <c r="H109" s="715"/>
      <c r="I109" s="715"/>
      <c r="J109" s="297"/>
      <c r="K109" s="297"/>
      <c r="L109" s="295"/>
      <c r="M109" s="296"/>
      <c r="N109" s="207"/>
      <c r="O109" s="70">
        <f t="shared" si="58"/>
        <v>0</v>
      </c>
      <c r="P109" s="70">
        <f t="shared" si="59"/>
        <v>0</v>
      </c>
      <c r="Q109" s="70">
        <f t="shared" si="45"/>
        <v>0</v>
      </c>
      <c r="R109" s="70">
        <f t="shared" si="60"/>
        <v>0</v>
      </c>
      <c r="S109"/>
      <c r="T109" s="201" t="b">
        <v>1</v>
      </c>
      <c r="V109" s="70" t="str">
        <f t="shared" si="46"/>
        <v>Podnik 9.</v>
      </c>
      <c r="W109" s="218">
        <f t="shared" si="47"/>
        <v>0</v>
      </c>
      <c r="X109" s="70">
        <f t="shared" si="48"/>
        <v>0</v>
      </c>
      <c r="Y109" s="70">
        <f t="shared" si="49"/>
        <v>0</v>
      </c>
      <c r="Z109" s="70">
        <f t="shared" si="50"/>
        <v>0</v>
      </c>
      <c r="AA109" s="70">
        <f t="shared" si="51"/>
        <v>0</v>
      </c>
      <c r="AB109" s="70">
        <f t="shared" si="52"/>
        <v>0</v>
      </c>
      <c r="AC109" s="70">
        <f t="shared" si="53"/>
        <v>0</v>
      </c>
      <c r="AD109" s="70">
        <f t="shared" si="54"/>
        <v>0</v>
      </c>
      <c r="AE109" s="70">
        <f t="shared" si="55"/>
        <v>0</v>
      </c>
      <c r="AF109" s="70">
        <f t="shared" si="56"/>
        <v>0</v>
      </c>
      <c r="AG109" s="70">
        <f t="shared" si="57"/>
        <v>0</v>
      </c>
      <c r="AH109"/>
      <c r="AI109"/>
      <c r="AJ109"/>
      <c r="AK109"/>
    </row>
    <row r="110" spans="1:37" ht="15.6" customHeight="1" x14ac:dyDescent="0.25">
      <c r="A110" s="695"/>
      <c r="B110" s="293" t="s">
        <v>516</v>
      </c>
      <c r="C110" s="712"/>
      <c r="D110" s="713"/>
      <c r="E110" s="294"/>
      <c r="F110" s="715"/>
      <c r="G110" s="715"/>
      <c r="H110" s="715"/>
      <c r="I110" s="715"/>
      <c r="J110" s="298"/>
      <c r="K110" s="298"/>
      <c r="L110" s="299"/>
      <c r="M110" s="300"/>
      <c r="N110" s="207"/>
      <c r="O110" s="70">
        <f t="shared" si="58"/>
        <v>0</v>
      </c>
      <c r="P110" s="70">
        <f t="shared" si="59"/>
        <v>0</v>
      </c>
      <c r="Q110" s="70">
        <f t="shared" si="45"/>
        <v>0</v>
      </c>
      <c r="R110" s="70">
        <f t="shared" si="60"/>
        <v>0</v>
      </c>
      <c r="T110" s="201" t="b">
        <v>1</v>
      </c>
      <c r="V110" s="70" t="str">
        <f t="shared" si="46"/>
        <v>Podnik 10.</v>
      </c>
      <c r="W110" s="218">
        <f t="shared" si="47"/>
        <v>0</v>
      </c>
      <c r="X110" s="70">
        <f t="shared" si="48"/>
        <v>0</v>
      </c>
      <c r="Y110" s="70">
        <f t="shared" si="49"/>
        <v>0</v>
      </c>
      <c r="Z110" s="70">
        <f t="shared" si="50"/>
        <v>0</v>
      </c>
      <c r="AA110" s="70">
        <f t="shared" si="51"/>
        <v>0</v>
      </c>
      <c r="AB110" s="70">
        <f t="shared" si="52"/>
        <v>0</v>
      </c>
      <c r="AC110" s="70">
        <f t="shared" si="53"/>
        <v>0</v>
      </c>
      <c r="AD110" s="70">
        <f t="shared" si="54"/>
        <v>0</v>
      </c>
      <c r="AE110" s="70">
        <f t="shared" si="55"/>
        <v>0</v>
      </c>
      <c r="AF110" s="70">
        <f t="shared" si="56"/>
        <v>0</v>
      </c>
      <c r="AG110" s="70">
        <f t="shared" si="57"/>
        <v>0</v>
      </c>
      <c r="AH110"/>
      <c r="AI110"/>
      <c r="AJ110"/>
      <c r="AK110"/>
    </row>
    <row r="111" spans="1:37" ht="15.6" customHeight="1" thickBot="1" x14ac:dyDescent="0.3">
      <c r="A111" s="695"/>
      <c r="B111" s="623" t="s">
        <v>73</v>
      </c>
      <c r="C111" s="624"/>
      <c r="D111" s="625"/>
      <c r="E111" s="190">
        <f>SUM(E101:E110)</f>
        <v>0</v>
      </c>
      <c r="F111" s="716"/>
      <c r="G111" s="716"/>
      <c r="H111" s="716"/>
      <c r="I111" s="716"/>
      <c r="J111" s="203">
        <f>SUM(J101:J110)</f>
        <v>0</v>
      </c>
      <c r="K111" s="191">
        <f>SUM(K101:K110)</f>
        <v>0</v>
      </c>
      <c r="L111" s="191">
        <f>SUM(L101:L110)</f>
        <v>0</v>
      </c>
      <c r="M111" s="192">
        <f>SUM(M101:M110)</f>
        <v>0</v>
      </c>
      <c r="N111" s="207"/>
      <c r="P111" s="219">
        <f>SUM(P101:P110)</f>
        <v>0</v>
      </c>
      <c r="Q111" s="220">
        <f>IF(OR(Q101=1,Q102=1,Q103=1,Q104=1,Q105=1,Q106=1,Q107=1,Q108=1,Q109=1,Q110=1,Q68=1,Q69=1,Q70=1,Q71=1,Q72=1,Q73=1,Q74=1,Q75=1,Q76=1,Q77=1,Q34=1,Q35=1,Q36=1,Q37=1,Q38=1,Q39=1,Q40=1,Q41=1,Q42=1,Q43=1),1,0)</f>
        <v>0</v>
      </c>
      <c r="R111" s="221">
        <f>IF(OR(R101=1,R102=1,R103=1,R104=1,R105=1,R106=1,R107=1,R108=1,R109=1,R110=1,R68=1,R69=1,R70=1,R71=1,R72=1,R73=1,R74=1,R75=1,R76=1,R77=1,R34=1,R35=1,R36=1,R37=1,R38=1,R39=1,R40=1,R41=1,R42=1,R43=1),1,0)</f>
        <v>0</v>
      </c>
      <c r="S111" s="222">
        <f>Q111+R111</f>
        <v>0</v>
      </c>
      <c r="T111" s="223">
        <f>T101+T102+T103+T104+T105+T106+T107+T108+T109+T110</f>
        <v>8</v>
      </c>
      <c r="V111"/>
      <c r="W111"/>
      <c r="X111"/>
      <c r="Y111"/>
      <c r="Z111"/>
      <c r="AA111"/>
      <c r="AB111"/>
      <c r="AC111"/>
      <c r="AD111"/>
      <c r="AE111"/>
      <c r="AF111"/>
      <c r="AG111"/>
      <c r="AH111"/>
      <c r="AI111"/>
      <c r="AJ111"/>
      <c r="AK111"/>
    </row>
    <row r="112" spans="1:37" ht="16.5" thickBot="1" x14ac:dyDescent="0.3">
      <c r="A112" s="695"/>
      <c r="B112" s="224"/>
      <c r="C112" s="584" t="str">
        <f>IF(P111&gt;0,"Ve výše uvedené tabulce je nutné vybrat rok!","")</f>
        <v/>
      </c>
      <c r="D112" s="584"/>
      <c r="E112" s="584"/>
      <c r="F112" s="584"/>
      <c r="G112" s="584"/>
      <c r="H112" s="209"/>
      <c r="I112" s="209"/>
      <c r="J112" s="209"/>
      <c r="K112" s="209"/>
      <c r="L112" s="225"/>
      <c r="M112" s="225"/>
      <c r="N112" s="207"/>
      <c r="S112" s="173" t="s">
        <v>480</v>
      </c>
      <c r="T112" s="226" t="s">
        <v>409</v>
      </c>
      <c r="V112"/>
      <c r="W112"/>
      <c r="X112"/>
      <c r="Y112"/>
      <c r="Z112"/>
      <c r="AA112"/>
      <c r="AB112"/>
      <c r="AC112"/>
      <c r="AD112"/>
      <c r="AE112"/>
      <c r="AF112"/>
      <c r="AG112"/>
      <c r="AH112"/>
      <c r="AI112"/>
      <c r="AJ112"/>
      <c r="AK112"/>
    </row>
    <row r="113" spans="1:37" ht="19.899999999999999" customHeight="1" x14ac:dyDescent="0.25">
      <c r="A113" s="695"/>
      <c r="B113" s="595" t="str">
        <f>IF($E$12="ANO","NEVYPLŇUJE SE. (Tuto tabulku vyplňuje pouze VELKÝ podnikatel.)","Obchodní jméno podniku")</f>
        <v>Obchodní jméno podniku</v>
      </c>
      <c r="C113" s="571" t="s">
        <v>403</v>
      </c>
      <c r="D113" s="572"/>
      <c r="E113" s="585" t="s">
        <v>86</v>
      </c>
      <c r="F113" s="586"/>
      <c r="G113" s="586"/>
      <c r="H113" s="586"/>
      <c r="I113" s="586"/>
      <c r="J113" s="702"/>
      <c r="K113" s="696" t="s">
        <v>87</v>
      </c>
      <c r="L113" s="697"/>
      <c r="M113" s="698"/>
      <c r="N113" s="207"/>
      <c r="S113"/>
      <c r="T113" s="155"/>
      <c r="V113"/>
      <c r="X113"/>
      <c r="Y113"/>
      <c r="Z113"/>
      <c r="AA113"/>
      <c r="AB113"/>
      <c r="AC113"/>
      <c r="AD113"/>
      <c r="AE113"/>
      <c r="AF113"/>
      <c r="AG113"/>
      <c r="AH113"/>
      <c r="AI113"/>
      <c r="AJ113"/>
      <c r="AK113"/>
    </row>
    <row r="114" spans="1:37" ht="45" x14ac:dyDescent="0.25">
      <c r="A114" s="695"/>
      <c r="B114" s="596"/>
      <c r="C114" s="573"/>
      <c r="D114" s="574"/>
      <c r="E114" s="213" t="s">
        <v>15</v>
      </c>
      <c r="F114" s="214" t="s">
        <v>30</v>
      </c>
      <c r="G114" s="214" t="s">
        <v>72</v>
      </c>
      <c r="H114" s="214" t="s">
        <v>83</v>
      </c>
      <c r="I114" s="214" t="s">
        <v>81</v>
      </c>
      <c r="J114" s="214" t="s">
        <v>99</v>
      </c>
      <c r="K114" s="215" t="s">
        <v>23</v>
      </c>
      <c r="L114" s="215" t="s">
        <v>25</v>
      </c>
      <c r="M114" s="216" t="s">
        <v>82</v>
      </c>
      <c r="N114" s="207"/>
      <c r="S114" s="164"/>
      <c r="T114" s="227" t="s">
        <v>457</v>
      </c>
      <c r="U114" s="152" t="s">
        <v>456</v>
      </c>
      <c r="V114"/>
      <c r="X114"/>
      <c r="Y114"/>
      <c r="Z114"/>
      <c r="AA114"/>
      <c r="AB114"/>
      <c r="AC114"/>
      <c r="AD114"/>
      <c r="AE114"/>
      <c r="AF114"/>
      <c r="AG114"/>
      <c r="AH114"/>
      <c r="AI114"/>
      <c r="AJ114"/>
      <c r="AK114"/>
    </row>
    <row r="115" spans="1:37" ht="16.149999999999999" customHeight="1" thickBot="1" x14ac:dyDescent="0.3">
      <c r="A115" s="695"/>
      <c r="B115" s="597"/>
      <c r="C115" s="575"/>
      <c r="D115" s="576"/>
      <c r="E115" s="699" t="str">
        <f>E100</f>
        <v>Uveďte údaje z konsolidované účetní závěrky, je-li k dispozici.</v>
      </c>
      <c r="F115" s="700"/>
      <c r="G115" s="700"/>
      <c r="H115" s="700"/>
      <c r="I115" s="700"/>
      <c r="J115" s="700"/>
      <c r="K115" s="700"/>
      <c r="L115" s="700"/>
      <c r="M115" s="701"/>
      <c r="N115" s="207"/>
      <c r="S115" s="164"/>
      <c r="T115" s="228" t="str">
        <f>IF(T97="Chyba v části I.","",T97)</f>
        <v/>
      </c>
      <c r="U115" s="153" t="str">
        <f>T114&amp;T115&amp;T116</f>
        <v xml:space="preserve">Výhradně rok </v>
      </c>
    </row>
    <row r="116" spans="1:37" ht="15.6" customHeight="1" x14ac:dyDescent="0.25">
      <c r="A116" s="695"/>
      <c r="B116" s="229" t="str">
        <f>IF(B101="Podnik 1.","Vyplní se automaticky",IF(B101="","",B101))</f>
        <v>Vyplní se automaticky</v>
      </c>
      <c r="C116" s="565" t="str">
        <f>IF(C101&gt;20,C101-1,"Vyplní se automaticky")</f>
        <v>Vyplní se automaticky</v>
      </c>
      <c r="D116" s="566"/>
      <c r="E116" s="292"/>
      <c r="F116" s="714" t="s">
        <v>84</v>
      </c>
      <c r="G116" s="714"/>
      <c r="H116" s="714"/>
      <c r="I116" s="714"/>
      <c r="J116" s="297"/>
      <c r="K116" s="297"/>
      <c r="L116" s="295"/>
      <c r="M116" s="296"/>
      <c r="N116" s="207"/>
      <c r="S116" s="164"/>
      <c r="Y116" s="186">
        <f t="shared" ref="Y116:Y125" si="61">IF(C116=$T$30,E116,0)</f>
        <v>0</v>
      </c>
      <c r="AA116" s="186">
        <f t="shared" ref="AA116:AA125" si="62">IF(C116=$T$30,J116,0)</f>
        <v>0</v>
      </c>
      <c r="AC116" s="186">
        <f t="shared" ref="AC116:AC125" si="63">IF(C116=$T$30,K116,0)</f>
        <v>0</v>
      </c>
      <c r="AE116" s="186">
        <f t="shared" ref="AE116:AE125" si="64">IF(C116=$T$30,L116,0)</f>
        <v>0</v>
      </c>
      <c r="AG116" s="186">
        <f t="shared" ref="AG116:AG125" si="65">IF(C116=$T$30,M116,0)</f>
        <v>0</v>
      </c>
    </row>
    <row r="117" spans="1:37" ht="15.6" customHeight="1" x14ac:dyDescent="0.25">
      <c r="A117" s="695"/>
      <c r="B117" s="230" t="str">
        <f>IF(OR(B102="Podnik 2.",B102=""),"",B102)</f>
        <v/>
      </c>
      <c r="C117" s="589" t="str">
        <f>IF(C102&gt;20,C102-1,"")</f>
        <v/>
      </c>
      <c r="D117" s="590"/>
      <c r="E117" s="292"/>
      <c r="F117" s="715"/>
      <c r="G117" s="715"/>
      <c r="H117" s="715"/>
      <c r="I117" s="715"/>
      <c r="J117" s="297"/>
      <c r="K117" s="297"/>
      <c r="L117" s="295"/>
      <c r="M117" s="296"/>
      <c r="N117" s="207"/>
      <c r="S117" s="164"/>
      <c r="Y117" s="186">
        <f t="shared" si="61"/>
        <v>0</v>
      </c>
      <c r="AA117" s="186">
        <f t="shared" si="62"/>
        <v>0</v>
      </c>
      <c r="AC117" s="186">
        <f t="shared" si="63"/>
        <v>0</v>
      </c>
      <c r="AE117" s="186">
        <f t="shared" si="64"/>
        <v>0</v>
      </c>
      <c r="AG117" s="186">
        <f t="shared" si="65"/>
        <v>0</v>
      </c>
    </row>
    <row r="118" spans="1:37" ht="15.6" customHeight="1" x14ac:dyDescent="0.25">
      <c r="A118" s="695"/>
      <c r="B118" s="230" t="str">
        <f>IF(OR(B103="Podnik 3.",B103=""),"",B103)</f>
        <v/>
      </c>
      <c r="C118" s="589" t="str">
        <f t="shared" ref="C118:C125" si="66">IF(C103&gt;20,C103-1,"")</f>
        <v/>
      </c>
      <c r="D118" s="590"/>
      <c r="E118" s="292"/>
      <c r="F118" s="715"/>
      <c r="G118" s="715"/>
      <c r="H118" s="715"/>
      <c r="I118" s="715"/>
      <c r="J118" s="297"/>
      <c r="K118" s="297"/>
      <c r="L118" s="295"/>
      <c r="M118" s="296"/>
      <c r="N118" s="207"/>
      <c r="S118" s="164"/>
      <c r="Y118" s="186">
        <f t="shared" si="61"/>
        <v>0</v>
      </c>
      <c r="AA118" s="186">
        <f t="shared" si="62"/>
        <v>0</v>
      </c>
      <c r="AC118" s="186">
        <f t="shared" si="63"/>
        <v>0</v>
      </c>
      <c r="AE118" s="186">
        <f t="shared" si="64"/>
        <v>0</v>
      </c>
      <c r="AG118" s="186">
        <f t="shared" si="65"/>
        <v>0</v>
      </c>
    </row>
    <row r="119" spans="1:37" ht="15.6" customHeight="1" x14ac:dyDescent="0.25">
      <c r="A119" s="695"/>
      <c r="B119" s="230" t="str">
        <f>IF(OR(B104="Podnik 4.",B104=""),"",B104)</f>
        <v/>
      </c>
      <c r="C119" s="589" t="str">
        <f t="shared" si="66"/>
        <v/>
      </c>
      <c r="D119" s="590"/>
      <c r="E119" s="292"/>
      <c r="F119" s="715"/>
      <c r="G119" s="715"/>
      <c r="H119" s="715"/>
      <c r="I119" s="715"/>
      <c r="J119" s="297"/>
      <c r="K119" s="297"/>
      <c r="L119" s="295"/>
      <c r="M119" s="296"/>
      <c r="N119" s="207"/>
      <c r="S119" s="164"/>
      <c r="T119" s="155"/>
      <c r="Y119" s="186">
        <f t="shared" si="61"/>
        <v>0</v>
      </c>
      <c r="AA119" s="186">
        <f t="shared" si="62"/>
        <v>0</v>
      </c>
      <c r="AC119" s="186">
        <f t="shared" si="63"/>
        <v>0</v>
      </c>
      <c r="AE119" s="186">
        <f t="shared" si="64"/>
        <v>0</v>
      </c>
      <c r="AG119" s="186">
        <f t="shared" si="65"/>
        <v>0</v>
      </c>
    </row>
    <row r="120" spans="1:37" ht="15.6" customHeight="1" x14ac:dyDescent="0.25">
      <c r="A120" s="695"/>
      <c r="B120" s="230" t="str">
        <f>IF(OR(B105="Podnik 5.",B105=""),"",B105)</f>
        <v/>
      </c>
      <c r="C120" s="589" t="str">
        <f t="shared" si="66"/>
        <v/>
      </c>
      <c r="D120" s="590"/>
      <c r="E120" s="292"/>
      <c r="F120" s="715"/>
      <c r="G120" s="715"/>
      <c r="H120" s="715"/>
      <c r="I120" s="715"/>
      <c r="J120" s="297"/>
      <c r="K120" s="297"/>
      <c r="L120" s="295"/>
      <c r="M120" s="296"/>
      <c r="N120" s="207"/>
      <c r="S120" s="164"/>
      <c r="T120" s="155"/>
      <c r="Y120" s="186">
        <f t="shared" si="61"/>
        <v>0</v>
      </c>
      <c r="AA120" s="186">
        <f t="shared" si="62"/>
        <v>0</v>
      </c>
      <c r="AC120" s="186">
        <f t="shared" si="63"/>
        <v>0</v>
      </c>
      <c r="AE120" s="186">
        <f t="shared" si="64"/>
        <v>0</v>
      </c>
      <c r="AG120" s="186">
        <f t="shared" si="65"/>
        <v>0</v>
      </c>
    </row>
    <row r="121" spans="1:37" ht="15.6" customHeight="1" x14ac:dyDescent="0.25">
      <c r="A121" s="695"/>
      <c r="B121" s="230" t="str">
        <f>IF(OR(B106="Podnik 6.",B106=""),"",B106)</f>
        <v/>
      </c>
      <c r="C121" s="589" t="str">
        <f>IF(C106&gt;20,C106-1,"")</f>
        <v/>
      </c>
      <c r="D121" s="590"/>
      <c r="E121" s="292"/>
      <c r="F121" s="715"/>
      <c r="G121" s="715"/>
      <c r="H121" s="715"/>
      <c r="I121" s="715"/>
      <c r="J121" s="297"/>
      <c r="K121" s="297"/>
      <c r="L121" s="295"/>
      <c r="M121" s="296"/>
      <c r="N121" s="207"/>
      <c r="S121" s="164"/>
      <c r="Y121" s="186">
        <f t="shared" si="61"/>
        <v>0</v>
      </c>
      <c r="AA121" s="186">
        <f t="shared" si="62"/>
        <v>0</v>
      </c>
      <c r="AC121" s="186">
        <f t="shared" si="63"/>
        <v>0</v>
      </c>
      <c r="AE121" s="186">
        <f t="shared" si="64"/>
        <v>0</v>
      </c>
      <c r="AG121" s="186">
        <f t="shared" si="65"/>
        <v>0</v>
      </c>
    </row>
    <row r="122" spans="1:37" ht="15.6" customHeight="1" x14ac:dyDescent="0.25">
      <c r="A122" s="695"/>
      <c r="B122" s="230" t="str">
        <f>IF(OR(B107="Podnik 7.",B107=""),"",B107)</f>
        <v/>
      </c>
      <c r="C122" s="589" t="str">
        <f t="shared" si="66"/>
        <v/>
      </c>
      <c r="D122" s="590"/>
      <c r="E122" s="292"/>
      <c r="F122" s="715"/>
      <c r="G122" s="715"/>
      <c r="H122" s="715"/>
      <c r="I122" s="715"/>
      <c r="J122" s="297"/>
      <c r="K122" s="297"/>
      <c r="L122" s="295"/>
      <c r="M122" s="296"/>
      <c r="N122" s="207"/>
      <c r="S122" s="164"/>
      <c r="Y122" s="186">
        <f t="shared" si="61"/>
        <v>0</v>
      </c>
      <c r="AA122" s="186">
        <f t="shared" si="62"/>
        <v>0</v>
      </c>
      <c r="AC122" s="186">
        <f t="shared" si="63"/>
        <v>0</v>
      </c>
      <c r="AE122" s="186">
        <f t="shared" si="64"/>
        <v>0</v>
      </c>
      <c r="AG122" s="186">
        <f t="shared" si="65"/>
        <v>0</v>
      </c>
    </row>
    <row r="123" spans="1:37" ht="15.6" customHeight="1" x14ac:dyDescent="0.25">
      <c r="A123" s="695"/>
      <c r="B123" s="230" t="str">
        <f>IF(OR(B108="Podnik 8.",B108=""),"",B108)</f>
        <v/>
      </c>
      <c r="C123" s="589" t="str">
        <f t="shared" si="66"/>
        <v/>
      </c>
      <c r="D123" s="590"/>
      <c r="E123" s="292"/>
      <c r="F123" s="715"/>
      <c r="G123" s="715"/>
      <c r="H123" s="715"/>
      <c r="I123" s="715"/>
      <c r="J123" s="297"/>
      <c r="K123" s="297"/>
      <c r="L123" s="295"/>
      <c r="M123" s="296"/>
      <c r="N123" s="207"/>
      <c r="S123" s="164"/>
      <c r="Y123" s="186">
        <f t="shared" si="61"/>
        <v>0</v>
      </c>
      <c r="AA123" s="186">
        <f t="shared" si="62"/>
        <v>0</v>
      </c>
      <c r="AC123" s="186">
        <f t="shared" si="63"/>
        <v>0</v>
      </c>
      <c r="AE123" s="186">
        <f t="shared" si="64"/>
        <v>0</v>
      </c>
      <c r="AG123" s="186">
        <f t="shared" si="65"/>
        <v>0</v>
      </c>
    </row>
    <row r="124" spans="1:37" ht="15.6" customHeight="1" x14ac:dyDescent="0.25">
      <c r="A124" s="695"/>
      <c r="B124" s="230" t="str">
        <f>IF(OR(B109="Podnik 9.",B109=""),"",B109)</f>
        <v/>
      </c>
      <c r="C124" s="589" t="str">
        <f t="shared" si="66"/>
        <v/>
      </c>
      <c r="D124" s="590"/>
      <c r="E124" s="292"/>
      <c r="F124" s="715"/>
      <c r="G124" s="715"/>
      <c r="H124" s="715"/>
      <c r="I124" s="715"/>
      <c r="J124" s="297"/>
      <c r="K124" s="297"/>
      <c r="L124" s="295"/>
      <c r="M124" s="296"/>
      <c r="N124" s="207"/>
      <c r="S124" s="164"/>
      <c r="Y124" s="186">
        <f t="shared" si="61"/>
        <v>0</v>
      </c>
      <c r="AA124" s="186">
        <f t="shared" si="62"/>
        <v>0</v>
      </c>
      <c r="AC124" s="186">
        <f t="shared" si="63"/>
        <v>0</v>
      </c>
      <c r="AE124" s="186">
        <f t="shared" si="64"/>
        <v>0</v>
      </c>
      <c r="AG124" s="186">
        <f t="shared" si="65"/>
        <v>0</v>
      </c>
    </row>
    <row r="125" spans="1:37" ht="15.6" customHeight="1" x14ac:dyDescent="0.25">
      <c r="A125" s="695"/>
      <c r="B125" s="230" t="str">
        <f>IF(OR(B110="Podnik 10.",B110=""),"",B110)</f>
        <v/>
      </c>
      <c r="C125" s="589" t="str">
        <f t="shared" si="66"/>
        <v/>
      </c>
      <c r="D125" s="590"/>
      <c r="E125" s="294"/>
      <c r="F125" s="715"/>
      <c r="G125" s="715"/>
      <c r="H125" s="715"/>
      <c r="I125" s="715"/>
      <c r="J125" s="298"/>
      <c r="K125" s="298"/>
      <c r="L125" s="299"/>
      <c r="M125" s="300"/>
      <c r="N125" s="207"/>
      <c r="S125" s="164"/>
      <c r="Y125" s="186">
        <f t="shared" si="61"/>
        <v>0</v>
      </c>
      <c r="AA125" s="186">
        <f t="shared" si="62"/>
        <v>0</v>
      </c>
      <c r="AC125" s="186">
        <f t="shared" si="63"/>
        <v>0</v>
      </c>
      <c r="AE125" s="186">
        <f t="shared" si="64"/>
        <v>0</v>
      </c>
      <c r="AG125" s="186">
        <f t="shared" si="65"/>
        <v>0</v>
      </c>
    </row>
    <row r="126" spans="1:37" ht="15.6" customHeight="1" thickBot="1" x14ac:dyDescent="0.3">
      <c r="A126" s="211"/>
      <c r="B126" s="623" t="s">
        <v>73</v>
      </c>
      <c r="C126" s="624"/>
      <c r="D126" s="625"/>
      <c r="E126" s="190">
        <f>SUM(E116:E125)</f>
        <v>0</v>
      </c>
      <c r="F126" s="716"/>
      <c r="G126" s="716"/>
      <c r="H126" s="716"/>
      <c r="I126" s="716"/>
      <c r="J126" s="203">
        <f>SUM(J116:J125)</f>
        <v>0</v>
      </c>
      <c r="K126" s="191">
        <f>SUM(K116:K125)</f>
        <v>0</v>
      </c>
      <c r="L126" s="191">
        <f>SUM(L116:L125)</f>
        <v>0</v>
      </c>
      <c r="M126" s="192">
        <f>SUM(M116:M125)</f>
        <v>0</v>
      </c>
      <c r="N126" s="207"/>
      <c r="S126" s="164"/>
    </row>
    <row r="127" spans="1:37" ht="27.75" customHeight="1" x14ac:dyDescent="0.25">
      <c r="A127" s="205"/>
      <c r="B127" s="206"/>
      <c r="C127" s="206"/>
      <c r="D127" s="207"/>
      <c r="E127" s="207"/>
      <c r="F127" s="206"/>
      <c r="G127" s="208"/>
      <c r="H127" s="209"/>
      <c r="I127" s="209"/>
      <c r="J127" s="209"/>
      <c r="K127" s="209"/>
      <c r="L127" s="207"/>
      <c r="M127" s="207"/>
      <c r="N127" s="207"/>
      <c r="O127" s="231" t="s">
        <v>488</v>
      </c>
    </row>
    <row r="128" spans="1:37" x14ac:dyDescent="0.25">
      <c r="O128" s="232">
        <f>IF(OR(E173="Ano",H173="Ano"),1,0)</f>
        <v>0</v>
      </c>
    </row>
    <row r="129" spans="1:33" x14ac:dyDescent="0.25">
      <c r="S129"/>
      <c r="W129" s="177">
        <f>SUM(W34:W112)</f>
        <v>0</v>
      </c>
    </row>
    <row r="130" spans="1:33" ht="16.5" thickBot="1" x14ac:dyDescent="0.3">
      <c r="B130" s="233" t="s">
        <v>468</v>
      </c>
      <c r="S130"/>
      <c r="W130" s="234" t="str">
        <f>IF(W129=0,"NE","ANO")</f>
        <v>NE</v>
      </c>
      <c r="X130" s="235">
        <f t="shared" ref="X130:AC130" si="67">SUM(X34:X129)</f>
        <v>0</v>
      </c>
      <c r="Y130" s="235">
        <f t="shared" si="67"/>
        <v>0</v>
      </c>
      <c r="Z130" s="235">
        <f t="shared" si="67"/>
        <v>0</v>
      </c>
      <c r="AA130" s="235">
        <f t="shared" si="67"/>
        <v>0</v>
      </c>
      <c r="AB130" s="235">
        <f t="shared" si="67"/>
        <v>0</v>
      </c>
      <c r="AC130" s="235">
        <f t="shared" si="67"/>
        <v>0</v>
      </c>
      <c r="AD130" s="235">
        <f>SUM(AD34:AD129)</f>
        <v>0</v>
      </c>
      <c r="AE130" s="235">
        <f>SUM(AE34:AE129)</f>
        <v>0</v>
      </c>
      <c r="AF130" s="235">
        <f>SUM(AF34:AF129)</f>
        <v>0</v>
      </c>
      <c r="AG130" s="235">
        <f>SUM(AG34:AG129)</f>
        <v>0</v>
      </c>
    </row>
    <row r="131" spans="1:33" s="236" customFormat="1" ht="19.5" customHeight="1" thickBot="1" x14ac:dyDescent="0.3">
      <c r="B131" s="237" t="s">
        <v>469</v>
      </c>
      <c r="C131" s="238"/>
      <c r="F131" s="238"/>
      <c r="G131" s="239"/>
      <c r="H131" s="240"/>
      <c r="I131" s="240"/>
      <c r="J131" s="240"/>
      <c r="K131" s="240"/>
      <c r="O131" s="241" t="s">
        <v>506</v>
      </c>
      <c r="P131"/>
      <c r="Q131"/>
      <c r="R131"/>
      <c r="S131"/>
      <c r="T131" s="242"/>
      <c r="W131" s="243" t="s">
        <v>481</v>
      </c>
      <c r="X131" s="244" t="s">
        <v>438</v>
      </c>
      <c r="Y131" s="244" t="s">
        <v>439</v>
      </c>
      <c r="Z131" s="244" t="s">
        <v>442</v>
      </c>
      <c r="AA131" s="244" t="s">
        <v>443</v>
      </c>
      <c r="AB131" s="244" t="s">
        <v>446</v>
      </c>
      <c r="AC131" s="244" t="s">
        <v>447</v>
      </c>
      <c r="AD131" s="244" t="s">
        <v>450</v>
      </c>
      <c r="AE131" s="244" t="s">
        <v>451</v>
      </c>
      <c r="AF131" s="244" t="s">
        <v>454</v>
      </c>
      <c r="AG131" s="244" t="s">
        <v>455</v>
      </c>
    </row>
    <row r="132" spans="1:33" ht="36" customHeight="1" thickBot="1" x14ac:dyDescent="0.3">
      <c r="A132" s="32" t="s">
        <v>424</v>
      </c>
      <c r="B132" s="485" t="s">
        <v>90</v>
      </c>
      <c r="C132" s="486"/>
      <c r="D132" s="440" t="str">
        <f>IF(AND('3. Skupina podniků'!E12="Ano",'3. Skupina podniků'!E13="Ano"),"kritéria C,D",IF(AND('3. Skupina podniků'!E12="Ano",'3. Skupina podniků'!E13="Ne",'3. Skupina podniků'!E14="Ano",'3. Skupina podniků'!E15="Ano"),"kritéria A,B,C,D",IF(AND('3. Skupina podniků'!E12="Ano",'3. Skupina podniků'!E14="Ano",'3. Skupina podniků'!E15="Ne"),"kritéria A,C,D",IF(AND('3. Skupina podniků'!E12="Ano",'3. Skupina podniků'!E14="Ne",'3. Skupina podniků'!E15="Ano"),"kritéria B,C,D",IF(AND('3. Skupina podniků'!E12="Ano",'3. Skupina podniků'!E14="Ne",'3. Skupina podniků'!E15="Ne"),"kritéria C,D",IF(AND('3. Skupina podniků'!E12="Ne",'3. Skupina podniků'!E14="Ano",'3. Skupina podniků'!E15="Ano"),"kritéria A,B,C,D,E",IF(AND('3. Skupina podniků'!E12="Ne",'3. Skupina podniků'!E14="Ano",'3. Skupina podniků'!E15="Ne"),"kritéria A,C,D,E",IF(AND('3. Skupina podniků'!E12="Ne",'3. Skupina podniků'!E14="Ne",'3. Skupina podniků'!E15="Ano"),"kritéria B,C,D,E",IF(AND('3. Skupina podniků'!E12="Ne",'3. Skupina podniků'!E14="Ne",'3. Skupina podniků'!E15="Ne"),"kritéria C,D,E")))))))))</f>
        <v>kritéria A,B,C,D,E</v>
      </c>
      <c r="E132" s="441"/>
      <c r="F132"/>
      <c r="O132" s="245" t="str">
        <f>IF(W130="ANO","Rok N",T95)</f>
        <v>Chyba v části I.</v>
      </c>
      <c r="S132"/>
    </row>
    <row r="133" spans="1:33" ht="16.5" thickBot="1" x14ac:dyDescent="0.3">
      <c r="F133"/>
      <c r="S133"/>
      <c r="W133" s="246" t="str">
        <f>IF(E158="NERELEVANTNÍ","NE","ANO")</f>
        <v>ANO</v>
      </c>
    </row>
    <row r="134" spans="1:33" ht="16.5" customHeight="1" x14ac:dyDescent="0.25">
      <c r="B134" s="525" t="s">
        <v>111</v>
      </c>
      <c r="C134" s="617" t="s">
        <v>61</v>
      </c>
      <c r="D134" s="618"/>
      <c r="E134" s="28" t="str">
        <f>IF(OR(D132="kritéria A,C,D,E",D132="kritéria A,C,D",D132="kritéria A,B,C,D",D132="kritéria A,B,C,D,E"),"RELEVANTNÍ","NERELEVANTNÍ")</f>
        <v>RELEVANTNÍ</v>
      </c>
      <c r="F134"/>
      <c r="O134" s="234" t="str">
        <f>IF(AND(R111=1,S111=1),Výpočty!B62,'3. Skupina podniků'!O132)</f>
        <v>Chyba v části I.</v>
      </c>
      <c r="S134"/>
      <c r="W134" s="247" t="s">
        <v>458</v>
      </c>
    </row>
    <row r="135" spans="1:33" ht="16.5" customHeight="1" thickBot="1" x14ac:dyDescent="0.3">
      <c r="B135" s="526"/>
      <c r="C135" s="619"/>
      <c r="D135" s="620"/>
      <c r="E135" s="33" t="str">
        <f>O134</f>
        <v>Chyba v části I.</v>
      </c>
      <c r="F135" s="248"/>
    </row>
    <row r="136" spans="1:33" x14ac:dyDescent="0.25">
      <c r="B136" s="18" t="s">
        <v>15</v>
      </c>
      <c r="C136" s="621" t="s">
        <v>49</v>
      </c>
      <c r="D136" s="622"/>
      <c r="E136" s="249">
        <f>E44</f>
        <v>0</v>
      </c>
      <c r="F136"/>
      <c r="O136" s="250" t="s">
        <v>506</v>
      </c>
      <c r="W136" s="246" t="str">
        <f>IF(AND(W130="ANO",W133="ANO"),"ANO","NE")</f>
        <v>NE</v>
      </c>
    </row>
    <row r="137" spans="1:33" ht="16.5" thickBot="1" x14ac:dyDescent="0.3">
      <c r="B137" s="18" t="s">
        <v>30</v>
      </c>
      <c r="C137" s="615" t="s">
        <v>49</v>
      </c>
      <c r="D137" s="616"/>
      <c r="E137" s="249">
        <f>F44</f>
        <v>0</v>
      </c>
      <c r="F137"/>
      <c r="O137" s="251" t="e">
        <f>IF(W130="ANO","Rok N-1",E135-1)</f>
        <v>#VALUE!</v>
      </c>
      <c r="W137" s="247" t="s">
        <v>459</v>
      </c>
    </row>
    <row r="138" spans="1:33" x14ac:dyDescent="0.25">
      <c r="B138" s="18" t="s">
        <v>72</v>
      </c>
      <c r="C138" s="615" t="s">
        <v>49</v>
      </c>
      <c r="D138" s="616"/>
      <c r="E138" s="249">
        <f>G44</f>
        <v>0</v>
      </c>
      <c r="F138"/>
    </row>
    <row r="139" spans="1:33" ht="16.5" thickBot="1" x14ac:dyDescent="0.3">
      <c r="B139" s="448" t="s">
        <v>14</v>
      </c>
      <c r="C139" s="449"/>
      <c r="D139" s="449"/>
      <c r="E139" s="25" t="str">
        <f>IF(E136&lt;((E137+E138)/2),"Ano","Ne")</f>
        <v>Ne</v>
      </c>
      <c r="F139"/>
      <c r="O139" s="232" t="e">
        <f>IF(AND(R111=1,S111=1),Výpočty!C63,'3. Skupina podniků'!O137)</f>
        <v>#VALUE!</v>
      </c>
      <c r="W139" s="246" t="str">
        <f>IF(OR(S113="ANO",W136="ANO"),"1","0")</f>
        <v>0</v>
      </c>
    </row>
    <row r="140" spans="1:33" ht="16.5" thickBot="1" x14ac:dyDescent="0.3">
      <c r="B140" s="12"/>
      <c r="C140" s="12"/>
      <c r="D140" s="15"/>
      <c r="E140" s="21"/>
      <c r="F140"/>
      <c r="W140" s="247" t="s">
        <v>477</v>
      </c>
    </row>
    <row r="141" spans="1:33" ht="16.5" customHeight="1" x14ac:dyDescent="0.25">
      <c r="B141" s="525" t="s">
        <v>110</v>
      </c>
      <c r="C141" s="617" t="s">
        <v>61</v>
      </c>
      <c r="D141" s="618"/>
      <c r="E141" s="28" t="str">
        <f>IF(OR(D132="kritéria B,C,D,E",D132="kritéria B,C,D",D132="kritéria A,B,C,D",D132="kritéria A,B,C,D,E"),"RELEVANTNÍ","NERELEVANTNÍ")</f>
        <v>RELEVANTNÍ</v>
      </c>
      <c r="F141"/>
    </row>
    <row r="142" spans="1:33" ht="16.5" customHeight="1" x14ac:dyDescent="0.25">
      <c r="B142" s="526"/>
      <c r="C142" s="619"/>
      <c r="D142" s="620"/>
      <c r="E142" s="33" t="str">
        <f>O134</f>
        <v>Chyba v části I.</v>
      </c>
      <c r="F142"/>
      <c r="W142" s="246">
        <f>S113+W139</f>
        <v>0</v>
      </c>
    </row>
    <row r="143" spans="1:33" x14ac:dyDescent="0.25">
      <c r="B143" s="18" t="s">
        <v>15</v>
      </c>
      <c r="C143" s="615" t="s">
        <v>155</v>
      </c>
      <c r="D143" s="616"/>
      <c r="E143" s="249">
        <f>E78</f>
        <v>0</v>
      </c>
      <c r="F143"/>
      <c r="W143" s="247" t="s">
        <v>484</v>
      </c>
    </row>
    <row r="144" spans="1:33" x14ac:dyDescent="0.25">
      <c r="B144" s="18" t="s">
        <v>10</v>
      </c>
      <c r="C144" s="615" t="s">
        <v>49</v>
      </c>
      <c r="D144" s="616"/>
      <c r="E144" s="249">
        <f>H78</f>
        <v>0</v>
      </c>
      <c r="F144"/>
    </row>
    <row r="145" spans="2:37" x14ac:dyDescent="0.25">
      <c r="B145" s="18" t="s">
        <v>12</v>
      </c>
      <c r="C145" s="615" t="s">
        <v>179</v>
      </c>
      <c r="D145" s="616"/>
      <c r="E145" s="249">
        <f>I78</f>
        <v>0</v>
      </c>
      <c r="F145"/>
      <c r="W145" s="252" t="str">
        <f>IF(W142=0,"NE",(IF(W142=1,"ANO","ANO")))</f>
        <v>NE</v>
      </c>
    </row>
    <row r="146" spans="2:37" ht="16.5" thickBot="1" x14ac:dyDescent="0.3">
      <c r="B146" s="448" t="s">
        <v>17</v>
      </c>
      <c r="C146" s="449"/>
      <c r="D146" s="449"/>
      <c r="E146" s="25" t="str">
        <f>IF(AND((E144+E145)&gt;0,E143&gt;0),"Ne",(IF((ABS(E144+E145))&gt;((E143-(E144+E145))/2),"Ano","Ne")))</f>
        <v>Ne</v>
      </c>
      <c r="F146"/>
      <c r="W146" s="247" t="s">
        <v>483</v>
      </c>
    </row>
    <row r="147" spans="2:37" ht="16.5" thickBot="1" x14ac:dyDescent="0.3">
      <c r="B147" s="239"/>
      <c r="C147" s="239"/>
      <c r="D147" s="239"/>
      <c r="E147" s="21"/>
      <c r="F147" s="155"/>
    </row>
    <row r="148" spans="2:37" ht="33" customHeight="1" x14ac:dyDescent="0.25">
      <c r="B148" s="22" t="s">
        <v>102</v>
      </c>
      <c r="C148" s="405" t="s">
        <v>61</v>
      </c>
      <c r="D148" s="629"/>
      <c r="E148" s="28" t="s">
        <v>46</v>
      </c>
      <c r="F148" s="253"/>
    </row>
    <row r="149" spans="2:37" ht="15.75" customHeight="1" x14ac:dyDescent="0.25">
      <c r="B149" s="18" t="s">
        <v>18</v>
      </c>
      <c r="C149" s="527" t="s">
        <v>63</v>
      </c>
      <c r="D149" s="528"/>
      <c r="E149" s="254" t="str">
        <f>IF(F149="",AK149,"Předchozí list!")</f>
        <v>Předchozí list!</v>
      </c>
      <c r="F149" s="255" t="str">
        <f>IF(AND('2. Účetnictví'!F41="Vyberte variantu",'2. Jednoduché účetnictví '!F30="Vyberte variantu",'2. Daňová evidence'!F30="Vyberte variantu",'2. Paušální (výdaje, daň)'!F30="Vyberte variantu"),"Vyplňte na listu, kde je testován pouze ŽADATEL BEZ SKUPINY !","")</f>
        <v>Vyplňte na listu, kde je testován pouze ŽADATEL BEZ SKUPINY !</v>
      </c>
      <c r="G149" s="154"/>
      <c r="AK149" s="254" t="str">
        <f>IF(OR('2. Účetnictví'!F41="Ano",'2. Jednoduché účetnictví '!F30="Ano",'2. Daňová evidence'!F30="Ano",'2. Paušální (výdaje, daň)'!F30="Ano"),"Ano","Ne")</f>
        <v>Ne</v>
      </c>
    </row>
    <row r="150" spans="2:37" x14ac:dyDescent="0.25">
      <c r="B150" s="18" t="s">
        <v>175</v>
      </c>
      <c r="C150" s="527" t="s">
        <v>69</v>
      </c>
      <c r="D150" s="528"/>
      <c r="E150" s="254" t="str">
        <f>IF(F150="",AK150,"Předchozí list!")</f>
        <v>Předchozí list!</v>
      </c>
      <c r="F150" s="255" t="str">
        <f>IF(AND('2. Účetnictví'!F42="Vyberte variantu",'2. Jednoduché účetnictví '!F31="Vyberte variantu",'2. Daňová evidence'!F31="Vyberte variantu",'2. Paušální (výdaje, daň)'!F31="Vyberte variantu"),"Vyplňte na listu, kde je testován pouze ŽADATEL BEZ SKUPINY !","")</f>
        <v>Vyplňte na listu, kde je testován pouze ŽADATEL BEZ SKUPINY !</v>
      </c>
      <c r="AK150" s="254" t="str">
        <f>IF(OR('2. Účetnictví'!F42="Ano",'2. Jednoduché účetnictví '!F31="Ano",'2. Daňová evidence'!F31="Ano",'2. Paušální (výdaje, daň)'!F31="Ano"),"Ano","Ne")</f>
        <v>Ne</v>
      </c>
    </row>
    <row r="151" spans="2:37" ht="16.5" thickBot="1" x14ac:dyDescent="0.3">
      <c r="B151" s="529" t="s">
        <v>19</v>
      </c>
      <c r="C151" s="530"/>
      <c r="D151" s="531"/>
      <c r="E151" s="25" t="str">
        <f>IF(OR(E149="Ano",E150="Ano"),"Ano","Ne")</f>
        <v>Ne</v>
      </c>
      <c r="F151" s="253"/>
      <c r="H151" s="256"/>
    </row>
    <row r="152" spans="2:37" ht="16.5" thickBot="1" x14ac:dyDescent="0.3">
      <c r="B152" s="239"/>
      <c r="C152" s="239"/>
      <c r="D152" s="239"/>
      <c r="E152" s="21"/>
      <c r="F152" s="253"/>
    </row>
    <row r="153" spans="2:37" ht="33" customHeight="1" x14ac:dyDescent="0.25">
      <c r="B153" s="22" t="s">
        <v>103</v>
      </c>
      <c r="C153" s="405" t="s">
        <v>61</v>
      </c>
      <c r="D153" s="629"/>
      <c r="E153" s="257" t="s">
        <v>46</v>
      </c>
      <c r="F153" s="253"/>
    </row>
    <row r="154" spans="2:37" ht="31.5" customHeight="1" x14ac:dyDescent="0.25">
      <c r="B154" s="18" t="s">
        <v>467</v>
      </c>
      <c r="C154" s="447" t="s">
        <v>69</v>
      </c>
      <c r="D154" s="447"/>
      <c r="E154" s="254" t="str">
        <f>IF(F154="",AK154,"Předchozí list!")</f>
        <v>Předchozí list!</v>
      </c>
      <c r="F154" s="253" t="str">
        <f>IF(AND('2. Účetnictví'!F46="Vyberte variantu",'2. Jednoduché účetnictví '!F35="Vyberte variantu",'2. Daňová evidence'!F35="Vyberte variantu",'2. Paušální (výdaje, daň)'!F35="Vyberte variantu"),"Vyplňte na listu, kde je testován pouze ŽADATEL BEZ SKUPINY !","")</f>
        <v>Vyplňte na listu, kde je testován pouze ŽADATEL BEZ SKUPINY !</v>
      </c>
      <c r="AK154" s="254" t="str">
        <f>IF(OR('2. Účetnictví'!F46="Ano",'2. Jednoduché účetnictví '!F35="Ano",'2. Daňová evidence'!F35="Ano",'2. Paušální (výdaje, daň)'!F35="Ano"),"Ano","Ne")</f>
        <v>Ne</v>
      </c>
    </row>
    <row r="155" spans="2:37" ht="28.5" x14ac:dyDescent="0.25">
      <c r="B155" s="18" t="s">
        <v>176</v>
      </c>
      <c r="C155" s="447" t="s">
        <v>69</v>
      </c>
      <c r="D155" s="447"/>
      <c r="E155" s="254" t="str">
        <f>IF(F155="",AK155,"Předchozí list!")</f>
        <v>Předchozí list!</v>
      </c>
      <c r="F155" s="258" t="str">
        <f>IF(AND('2. Účetnictví'!F47="Vyberte variantu",'2. Jednoduché účetnictví '!F36="Vyberte variantu",'2. Daňová evidence'!F36="Vyberte variantu",'2. Paušální (výdaje, daň)'!F36="Vyberte variantu"),"Vyplňte na listu, kde je testován pouze ŽADATEL BEZ SKUPINY !","")</f>
        <v>Vyplňte na listu, kde je testován pouze ŽADATEL BEZ SKUPINY !</v>
      </c>
      <c r="K155"/>
      <c r="AK155" s="254" t="str">
        <f>IF(OR('2. Účetnictví'!F47="Ano",'2. Jednoduché účetnictví '!F36="Ano",'2. Daňová evidence'!F36="Ano",'2. Paušální (výdaje, daň)'!F36="Ano"),"Ano","Ne")</f>
        <v>Ne</v>
      </c>
    </row>
    <row r="156" spans="2:37" ht="16.5" thickBot="1" x14ac:dyDescent="0.3">
      <c r="B156" s="529" t="s">
        <v>20</v>
      </c>
      <c r="C156" s="530"/>
      <c r="D156" s="531"/>
      <c r="E156" s="25" t="str">
        <f>IF(OR(E154="Ano",E155="Ano"),"Ano","Ne")</f>
        <v>Ne</v>
      </c>
      <c r="F156" s="253"/>
    </row>
    <row r="157" spans="2:37" ht="16.5" thickBot="1" x14ac:dyDescent="0.3">
      <c r="B157"/>
      <c r="C157"/>
      <c r="D157"/>
      <c r="E157"/>
      <c r="F157"/>
      <c r="H157" s="43"/>
    </row>
    <row r="158" spans="2:37" ht="33.75" customHeight="1" thickBot="1" x14ac:dyDescent="0.3">
      <c r="B158" s="626" t="s">
        <v>104</v>
      </c>
      <c r="C158" s="627"/>
      <c r="D158" s="628"/>
      <c r="E158" s="26" t="str">
        <f>IF(OR(D132="kritéria A,C,D,E",D132="kritéria B,C,D,E",D132="kritéria A,B,C,D,E",D132="kritéria C,D,E"),"RELEVANTNÍ","NERELEVANTNÍ")</f>
        <v>RELEVANTNÍ</v>
      </c>
      <c r="F158" s="236" t="str">
        <f>IF(E158="NERELEVANTNÍ"," Nerelevantní, doplní se nuly.","")</f>
        <v/>
      </c>
      <c r="H158" s="750" t="s">
        <v>485</v>
      </c>
      <c r="I158" s="751"/>
      <c r="J158" s="751"/>
      <c r="K158" s="259" t="str">
        <f>IF(E11="Ano","NEPOČÍTÁ SE",IF(S111=0,"NEPOČÍTÁ SE",IF(S111=1,"NEPOČÍTÁ SE","POČÍTÁ SE")))</f>
        <v>NEPOČÍTÁ SE</v>
      </c>
    </row>
    <row r="159" spans="2:37" ht="6.75" customHeight="1" thickBot="1" x14ac:dyDescent="0.3">
      <c r="B159" s="12"/>
      <c r="C159" s="12"/>
      <c r="D159" s="9"/>
      <c r="E159" s="21"/>
      <c r="F159" s="21"/>
    </row>
    <row r="160" spans="2:37" ht="33.75" customHeight="1" x14ac:dyDescent="0.25">
      <c r="B160" s="22" t="s">
        <v>105</v>
      </c>
      <c r="C160" s="405" t="s">
        <v>61</v>
      </c>
      <c r="D160" s="629"/>
      <c r="E160" s="23" t="str">
        <f>O134</f>
        <v>Chyba v části I.</v>
      </c>
      <c r="F160" s="260" t="e">
        <f>O139</f>
        <v>#VALUE!</v>
      </c>
      <c r="H160" s="261" t="s">
        <v>460</v>
      </c>
      <c r="I160" s="262" t="str">
        <f>U115</f>
        <v xml:space="preserve">Výhradně rok </v>
      </c>
    </row>
    <row r="161" spans="2:23" x14ac:dyDescent="0.25">
      <c r="B161" s="18" t="s">
        <v>15</v>
      </c>
      <c r="C161" s="615" t="s">
        <v>155</v>
      </c>
      <c r="D161" s="616"/>
      <c r="E161" s="263">
        <f>IF(E158="RELEVANTNÍ",E44+E78+E111,)</f>
        <v>0</v>
      </c>
      <c r="F161" s="264">
        <f>IF(E158="RELEVANTNÍ",E59+E93+E126,)</f>
        <v>0</v>
      </c>
      <c r="H161" s="265">
        <f>IF(E11="Ano",0,IF(S111=0,0,IF(S111=1,0,E44+E78+E111)))</f>
        <v>0</v>
      </c>
      <c r="I161" s="266">
        <f>IF(E11="Ano",0,IF(S111=0,0,IF(S111=1,0,Y130)))</f>
        <v>0</v>
      </c>
      <c r="W161" s="246">
        <f>IF(E160=T28,1,0)</f>
        <v>1</v>
      </c>
    </row>
    <row r="162" spans="2:23" x14ac:dyDescent="0.25">
      <c r="B162" s="18" t="s">
        <v>99</v>
      </c>
      <c r="C162" s="615" t="s">
        <v>155</v>
      </c>
      <c r="D162" s="616"/>
      <c r="E162" s="263">
        <f>IF(E158="RELEVANTNÍ",J44+J78+J111,)</f>
        <v>0</v>
      </c>
      <c r="F162" s="264">
        <f>IF(E158="RELEVANTNÍ",J59+J93+J126,)</f>
        <v>0</v>
      </c>
      <c r="H162" s="265">
        <f>IF(E11="Ano",0,IF(S111=0,0,IF(S111=1,0,J44+J78+J111)))</f>
        <v>0</v>
      </c>
      <c r="I162" s="266">
        <f>IF(E11="Ano",0,IF(S111=0,0,IF(S111=1,0,AA130)))</f>
        <v>0</v>
      </c>
      <c r="W162" s="247" t="s">
        <v>461</v>
      </c>
    </row>
    <row r="163" spans="2:23" x14ac:dyDescent="0.25">
      <c r="B163" s="407" t="s">
        <v>88</v>
      </c>
      <c r="C163" s="408"/>
      <c r="D163" s="408"/>
      <c r="E163" s="267" t="str">
        <f>IF((E161)=0,"NR",(E162/E161))</f>
        <v>NR</v>
      </c>
      <c r="F163" s="268" t="str">
        <f>IF((F161)=0,"NR",(F162/F161))</f>
        <v>NR</v>
      </c>
      <c r="H163" s="269" t="str">
        <f>IF((H161)=0,"NR",(H162/H161))</f>
        <v>NR</v>
      </c>
      <c r="I163" s="270" t="str">
        <f>IF((I161)=0,"NR",(I162/I161))</f>
        <v>NR</v>
      </c>
      <c r="J163" s="43"/>
    </row>
    <row r="164" spans="2:23" ht="16.5" thickBot="1" x14ac:dyDescent="0.3">
      <c r="B164" s="448" t="s">
        <v>22</v>
      </c>
      <c r="C164" s="449"/>
      <c r="D164" s="449"/>
      <c r="E164" s="271" t="str">
        <f>IF((E161)="0","Ano",IF((E163)&lt;0,"Chyba",IF(E163&gt;7.5,"Ano","Ne")))</f>
        <v>Ano</v>
      </c>
      <c r="F164" s="272" t="str">
        <f>IF((F161)="0","Ano",IF((F163)&lt;0,"Chyba",IF(F163&gt;7.5,"Ano","Ne")))</f>
        <v>Ano</v>
      </c>
      <c r="H164" s="273" t="str">
        <f>IF((H161)="0","Ano",IF((H163)&lt;0,"Chyba",IF(H163&gt;7.5,"Ano","Ne")))</f>
        <v>Ano</v>
      </c>
      <c r="I164" s="274" t="str">
        <f>IF((I161)="0","Ano",IF((I163)&lt;0,"Chyba",IF(I163&gt;7.5,"Ano","Ne")))</f>
        <v>Ano</v>
      </c>
      <c r="J164" s="43"/>
    </row>
    <row r="165" spans="2:23" ht="6.75" customHeight="1" thickBot="1" x14ac:dyDescent="0.3">
      <c r="B165" s="12"/>
      <c r="C165" s="12"/>
      <c r="D165" s="9"/>
      <c r="E165" s="21"/>
      <c r="F165" s="21"/>
    </row>
    <row r="166" spans="2:23" ht="33.75" customHeight="1" x14ac:dyDescent="0.25">
      <c r="B166" s="22" t="s">
        <v>106</v>
      </c>
      <c r="C166" s="405" t="s">
        <v>61</v>
      </c>
      <c r="D166" s="629"/>
      <c r="E166" s="23" t="str">
        <f>O134</f>
        <v>Chyba v části I.</v>
      </c>
      <c r="F166" s="24" t="e">
        <f>O139</f>
        <v>#VALUE!</v>
      </c>
      <c r="H166" s="261" t="s">
        <v>460</v>
      </c>
      <c r="I166" s="262" t="str">
        <f>I160</f>
        <v xml:space="preserve">Výhradně rok </v>
      </c>
    </row>
    <row r="167" spans="2:23" x14ac:dyDescent="0.25">
      <c r="B167" s="18" t="s">
        <v>23</v>
      </c>
      <c r="C167" s="615" t="s">
        <v>156</v>
      </c>
      <c r="D167" s="616"/>
      <c r="E167" s="263">
        <f>IF(E158="RELEVANTNÍ",K44+K78+K111,)</f>
        <v>0</v>
      </c>
      <c r="F167" s="264">
        <f>IF(E158="RELEVANTNÍ",K59+K93+K126,)</f>
        <v>0</v>
      </c>
      <c r="H167" s="265">
        <f>IF(E11="Ano",0,IF(S111=0,0,IF(S111=1,0,K44+K78+K111)))</f>
        <v>0</v>
      </c>
      <c r="I167" s="266">
        <f>IF(E11="Ano",0,IF(S111=0,0,IF(S111=1,0,AC130)))</f>
        <v>0</v>
      </c>
    </row>
    <row r="168" spans="2:23" x14ac:dyDescent="0.25">
      <c r="B168" s="18" t="s">
        <v>25</v>
      </c>
      <c r="C168" s="615" t="s">
        <v>156</v>
      </c>
      <c r="D168" s="616"/>
      <c r="E168" s="263">
        <f>IF(E158="RELEVANTNÍ",L44+L78+L111,)</f>
        <v>0</v>
      </c>
      <c r="F168" s="264">
        <f>IF(E158="RELEVANTNÍ",L59+L93+L126,)</f>
        <v>0</v>
      </c>
      <c r="H168" s="265">
        <f>IF(E11="Ano",0,IF(S111=0,0,IF(S111=1,0,L44+L78+L111)))</f>
        <v>0</v>
      </c>
      <c r="I168" s="266">
        <f>IF(E11="Ano",0,IF(S111=0,0,IF(S111=1,0,AE130)))</f>
        <v>0</v>
      </c>
    </row>
    <row r="169" spans="2:23" x14ac:dyDescent="0.25">
      <c r="B169" s="18" t="s">
        <v>27</v>
      </c>
      <c r="C169" s="615" t="s">
        <v>156</v>
      </c>
      <c r="D169" s="616"/>
      <c r="E169" s="263">
        <f>IF(E158="RELEVANTNÍ",M44+M78+M111,)</f>
        <v>0</v>
      </c>
      <c r="F169" s="264">
        <f>IF(E158="RELEVANTNÍ",M59+M93+M126,)</f>
        <v>0</v>
      </c>
      <c r="H169" s="265">
        <f>IF(E11="Ano",0,IF(S111=0,0,IF(S111=1,0,M44+M78+M111)))</f>
        <v>0</v>
      </c>
      <c r="I169" s="266">
        <f>IF(E11="Ano",0,IF(S111=0,0,IF(S111=1,0,AG130)))</f>
        <v>0</v>
      </c>
    </row>
    <row r="170" spans="2:23" x14ac:dyDescent="0.25">
      <c r="B170" s="407" t="s">
        <v>89</v>
      </c>
      <c r="C170" s="408"/>
      <c r="D170" s="408"/>
      <c r="E170" s="267" t="str">
        <f>IF(E168=0,"NR",(E167+E168+E169)/E168)</f>
        <v>NR</v>
      </c>
      <c r="F170" s="268" t="str">
        <f>IF(F168=0,"NR",(F167+F168+F169)/F168)</f>
        <v>NR</v>
      </c>
      <c r="H170" s="275" t="str">
        <f>IF(H168=0,"NR",(H167+H168+H169)/H168)</f>
        <v>NR</v>
      </c>
      <c r="I170" s="276" t="str">
        <f>IF(I168=0,"NR",(I167+I168+I169)/I168)</f>
        <v>NR</v>
      </c>
    </row>
    <row r="171" spans="2:23" ht="16.5" thickBot="1" x14ac:dyDescent="0.3">
      <c r="B171" s="448" t="s">
        <v>107</v>
      </c>
      <c r="C171" s="449"/>
      <c r="D171" s="449"/>
      <c r="E171" s="271" t="str">
        <f>IF((E170)="NR","NR",IF((E170)&lt;1,"Ano","Ne"))</f>
        <v>NR</v>
      </c>
      <c r="F171" s="272" t="str">
        <f>IF((F170)="NR","NR",IF((F170)&lt;1,"Ano","Ne"))</f>
        <v>NR</v>
      </c>
      <c r="H171" s="273" t="str">
        <f>IF((H170)="NR","NR",IF((H170)&lt;1,"Ano","Ne"))</f>
        <v>NR</v>
      </c>
      <c r="I171" s="274" t="str">
        <f>IF((I170)="NR","NR",IF((I170)&lt;1,"Ano","Ne"))</f>
        <v>NR</v>
      </c>
    </row>
    <row r="172" spans="2:23" ht="6.75" customHeight="1" thickBot="1" x14ac:dyDescent="0.3"/>
    <row r="173" spans="2:23" ht="33.75" customHeight="1" thickBot="1" x14ac:dyDescent="0.3">
      <c r="B173" s="753" t="s">
        <v>29</v>
      </c>
      <c r="C173" s="754"/>
      <c r="D173" s="754"/>
      <c r="E173" s="14" t="str">
        <f>IF(AND(E164="ANO",F164="Ano",E171="Ano",F171="Ano"),"Ano","Ne")</f>
        <v>Ne</v>
      </c>
      <c r="H173" s="277" t="str">
        <f>IF(AND(H164="ANO",I164="Ano",H171="Ano",I171="Ano"),"Ano","Ne")</f>
        <v>Ne</v>
      </c>
    </row>
    <row r="174" spans="2:23" ht="16.5" thickBot="1" x14ac:dyDescent="0.3">
      <c r="B174"/>
      <c r="C174"/>
      <c r="D174"/>
      <c r="E174"/>
      <c r="F174"/>
    </row>
    <row r="175" spans="2:23" ht="55.5" customHeight="1" thickBot="1" x14ac:dyDescent="0.3">
      <c r="B175" s="465" t="s">
        <v>431</v>
      </c>
      <c r="C175" s="466"/>
      <c r="D175" s="467"/>
      <c r="E175" s="16" t="str">
        <f>IF(OR(E139="ANO",E146="Ano",E151="Ano",E156="Ano",E173="Ano",H173="Ano"),"Ano","Ne")</f>
        <v>Ne</v>
      </c>
      <c r="F175" s="43" t="s">
        <v>489</v>
      </c>
    </row>
    <row r="176" spans="2:23" x14ac:dyDescent="0.25">
      <c r="W176" s="247" t="s">
        <v>465</v>
      </c>
    </row>
    <row r="177" spans="2:23" ht="51.75" customHeight="1" x14ac:dyDescent="0.25">
      <c r="B177" s="752" t="str">
        <f>IF(H173="Ano",W177,"")</f>
        <v/>
      </c>
      <c r="C177" s="752"/>
      <c r="D177" s="752"/>
      <c r="E177" s="752"/>
      <c r="L177" s="278"/>
      <c r="W177" s="235" t="s">
        <v>466</v>
      </c>
    </row>
    <row r="178" spans="2:23" ht="6" customHeight="1" x14ac:dyDescent="0.25"/>
    <row r="179" spans="2:23" x14ac:dyDescent="0.25">
      <c r="B179" s="233" t="str">
        <f>IF(AND(E11="Nevím",O128=1),"Krok 10:","")</f>
        <v/>
      </c>
    </row>
    <row r="180" spans="2:23" ht="45" customHeight="1" x14ac:dyDescent="0.25">
      <c r="B180" s="749" t="str">
        <f>IF(AND(E11="Nevím",O128=1),"Zjistěte velikost podnikatele pomocí Přílohy MSP, pokud bude podnikatel MSP, písmeno E se vůbec nepoužije, pokud bude podnikatel VELKÝ, je PvO.","")</f>
        <v/>
      </c>
      <c r="C180" s="749"/>
      <c r="D180" s="749"/>
      <c r="E180" s="749"/>
      <c r="F180" s="279"/>
      <c r="G180" s="279"/>
    </row>
  </sheetData>
  <sheetProtection algorithmName="SHA-512" hashValue="ML2jjVbGV1GDQAbeKtPj3w7evUHb7l7pq3Tzhs+SDYxUxMUWrj/gzu8vsHV14uPNcXzt0gUU+j10E0RUBbsE+g==" saltValue="EsySRgpfrwUnojJagbmI/g==" spinCount="100000" sheet="1" selectLockedCells="1"/>
  <mergeCells count="203">
    <mergeCell ref="I19:M19"/>
    <mergeCell ref="I20:M25"/>
    <mergeCell ref="B180:E180"/>
    <mergeCell ref="H158:J158"/>
    <mergeCell ref="B177:E177"/>
    <mergeCell ref="C148:D148"/>
    <mergeCell ref="C149:D149"/>
    <mergeCell ref="C150:D150"/>
    <mergeCell ref="B151:D151"/>
    <mergeCell ref="C153:D153"/>
    <mergeCell ref="C154:D154"/>
    <mergeCell ref="C155:D155"/>
    <mergeCell ref="B156:D156"/>
    <mergeCell ref="B173:D173"/>
    <mergeCell ref="B175:D175"/>
    <mergeCell ref="B170:D170"/>
    <mergeCell ref="C161:D161"/>
    <mergeCell ref="C162:D162"/>
    <mergeCell ref="B163:D163"/>
    <mergeCell ref="B164:D164"/>
    <mergeCell ref="C166:D166"/>
    <mergeCell ref="C167:D167"/>
    <mergeCell ref="C120:D120"/>
    <mergeCell ref="C122:D122"/>
    <mergeCell ref="AE32:AE33"/>
    <mergeCell ref="C121:D121"/>
    <mergeCell ref="B18:G18"/>
    <mergeCell ref="B10:G10"/>
    <mergeCell ref="B20:G20"/>
    <mergeCell ref="B19:G19"/>
    <mergeCell ref="B21:G21"/>
    <mergeCell ref="B22:G22"/>
    <mergeCell ref="B23:G23"/>
    <mergeCell ref="B24:G24"/>
    <mergeCell ref="B25:G25"/>
    <mergeCell ref="E17:G17"/>
    <mergeCell ref="C90:D90"/>
    <mergeCell ref="C91:D91"/>
    <mergeCell ref="B62:B64"/>
    <mergeCell ref="B44:D44"/>
    <mergeCell ref="C34:D34"/>
    <mergeCell ref="C35:D35"/>
    <mergeCell ref="C36:D36"/>
    <mergeCell ref="B17:D17"/>
    <mergeCell ref="B16:C16"/>
    <mergeCell ref="E16:G16"/>
    <mergeCell ref="C92:D92"/>
    <mergeCell ref="C106:D106"/>
    <mergeCell ref="A96:A125"/>
    <mergeCell ref="K98:M98"/>
    <mergeCell ref="E100:M100"/>
    <mergeCell ref="E113:J113"/>
    <mergeCell ref="K113:M113"/>
    <mergeCell ref="E115:M115"/>
    <mergeCell ref="B111:D111"/>
    <mergeCell ref="B96:C97"/>
    <mergeCell ref="D96:M96"/>
    <mergeCell ref="D97:M97"/>
    <mergeCell ref="C108:D108"/>
    <mergeCell ref="C109:D109"/>
    <mergeCell ref="C110:D110"/>
    <mergeCell ref="F116:I126"/>
    <mergeCell ref="F101:I111"/>
    <mergeCell ref="C124:D124"/>
    <mergeCell ref="C125:D125"/>
    <mergeCell ref="C101:D101"/>
    <mergeCell ref="C102:D102"/>
    <mergeCell ref="C107:D107"/>
    <mergeCell ref="C103:D103"/>
    <mergeCell ref="C104:D104"/>
    <mergeCell ref="C105:D105"/>
    <mergeCell ref="C119:D119"/>
    <mergeCell ref="E31:I31"/>
    <mergeCell ref="A62:A92"/>
    <mergeCell ref="K65:M65"/>
    <mergeCell ref="E67:M67"/>
    <mergeCell ref="E80:J80"/>
    <mergeCell ref="K80:M80"/>
    <mergeCell ref="E82:M82"/>
    <mergeCell ref="B78:D78"/>
    <mergeCell ref="C65:D66"/>
    <mergeCell ref="B67:D67"/>
    <mergeCell ref="C64:M64"/>
    <mergeCell ref="B65:B66"/>
    <mergeCell ref="F68:G78"/>
    <mergeCell ref="F83:I93"/>
    <mergeCell ref="C68:D68"/>
    <mergeCell ref="C69:D69"/>
    <mergeCell ref="C70:D70"/>
    <mergeCell ref="C71:D71"/>
    <mergeCell ref="C72:D72"/>
    <mergeCell ref="C73:D73"/>
    <mergeCell ref="C74:D74"/>
    <mergeCell ref="C75:D75"/>
    <mergeCell ref="C88:D88"/>
    <mergeCell ref="C89:D89"/>
    <mergeCell ref="B14:D14"/>
    <mergeCell ref="B15:D15"/>
    <mergeCell ref="B8:D8"/>
    <mergeCell ref="A29:A58"/>
    <mergeCell ref="E33:M33"/>
    <mergeCell ref="E46:J46"/>
    <mergeCell ref="C40:D40"/>
    <mergeCell ref="C41:D41"/>
    <mergeCell ref="C42:D42"/>
    <mergeCell ref="C31:D32"/>
    <mergeCell ref="B31:B32"/>
    <mergeCell ref="B33:D33"/>
    <mergeCell ref="F49:I59"/>
    <mergeCell ref="C49:D49"/>
    <mergeCell ref="C50:D50"/>
    <mergeCell ref="C51:D51"/>
    <mergeCell ref="C52:D52"/>
    <mergeCell ref="C53:D53"/>
    <mergeCell ref="C54:D54"/>
    <mergeCell ref="C55:D55"/>
    <mergeCell ref="B29:B30"/>
    <mergeCell ref="C29:M30"/>
    <mergeCell ref="K31:M31"/>
    <mergeCell ref="K46:M46"/>
    <mergeCell ref="B171:D171"/>
    <mergeCell ref="B158:D158"/>
    <mergeCell ref="C160:D160"/>
    <mergeCell ref="C143:D143"/>
    <mergeCell ref="C144:D144"/>
    <mergeCell ref="C145:D145"/>
    <mergeCell ref="C168:D168"/>
    <mergeCell ref="C169:D169"/>
    <mergeCell ref="E5:G5"/>
    <mergeCell ref="B6:C6"/>
    <mergeCell ref="D6:F6"/>
    <mergeCell ref="E7:G7"/>
    <mergeCell ref="E13:G13"/>
    <mergeCell ref="E14:G14"/>
    <mergeCell ref="E11:G11"/>
    <mergeCell ref="E15:G15"/>
    <mergeCell ref="E8:G8"/>
    <mergeCell ref="E9:G9"/>
    <mergeCell ref="E12:G12"/>
    <mergeCell ref="B5:D5"/>
    <mergeCell ref="B9:D9"/>
    <mergeCell ref="B7:D7"/>
    <mergeCell ref="B11:D11"/>
    <mergeCell ref="B13:D13"/>
    <mergeCell ref="C123:D123"/>
    <mergeCell ref="C137:D137"/>
    <mergeCell ref="B132:C132"/>
    <mergeCell ref="D132:E132"/>
    <mergeCell ref="B134:B135"/>
    <mergeCell ref="C134:D135"/>
    <mergeCell ref="C136:D136"/>
    <mergeCell ref="B126:D126"/>
    <mergeCell ref="B146:D146"/>
    <mergeCell ref="C138:D138"/>
    <mergeCell ref="B139:D139"/>
    <mergeCell ref="B141:B142"/>
    <mergeCell ref="C141:D142"/>
    <mergeCell ref="C117:D117"/>
    <mergeCell ref="C118:D118"/>
    <mergeCell ref="AF32:AF33"/>
    <mergeCell ref="AG32:AG33"/>
    <mergeCell ref="X32:X33"/>
    <mergeCell ref="Y32:Y33"/>
    <mergeCell ref="B80:B82"/>
    <mergeCell ref="C113:D115"/>
    <mergeCell ref="B113:B115"/>
    <mergeCell ref="B46:B48"/>
    <mergeCell ref="C46:D48"/>
    <mergeCell ref="C37:D37"/>
    <mergeCell ref="C38:D38"/>
    <mergeCell ref="C39:D39"/>
    <mergeCell ref="C43:D43"/>
    <mergeCell ref="C56:D56"/>
    <mergeCell ref="B59:D59"/>
    <mergeCell ref="C57:D57"/>
    <mergeCell ref="C58:D58"/>
    <mergeCell ref="E48:M48"/>
    <mergeCell ref="C62:M62"/>
    <mergeCell ref="C63:M63"/>
    <mergeCell ref="C76:D76"/>
    <mergeCell ref="C77:D77"/>
    <mergeCell ref="Z32:Z33"/>
    <mergeCell ref="AA32:AA33"/>
    <mergeCell ref="AB32:AB33"/>
    <mergeCell ref="AC32:AC33"/>
    <mergeCell ref="AD32:AD33"/>
    <mergeCell ref="B98:B99"/>
    <mergeCell ref="C98:D99"/>
    <mergeCell ref="B100:D100"/>
    <mergeCell ref="C116:D116"/>
    <mergeCell ref="C83:D83"/>
    <mergeCell ref="C84:D84"/>
    <mergeCell ref="C85:D85"/>
    <mergeCell ref="C86:D86"/>
    <mergeCell ref="C87:D87"/>
    <mergeCell ref="C80:D82"/>
    <mergeCell ref="H34:I44"/>
    <mergeCell ref="Q32:R32"/>
    <mergeCell ref="C45:G45"/>
    <mergeCell ref="C79:G79"/>
    <mergeCell ref="C112:G112"/>
    <mergeCell ref="E98:I98"/>
    <mergeCell ref="E65:I65"/>
  </mergeCells>
  <conditionalFormatting sqref="A1:A30">
    <cfRule type="containsText" dxfId="93" priority="87" operator="containsText" text="&quot;RELEVANTNÍ&quot;">
      <formula>NOT(ISERROR(SEARCH("""RELEVANTNÍ""",A1)))</formula>
    </cfRule>
    <cfRule type="beginsWith" dxfId="92" priority="86" operator="beginsWith" text="RE">
      <formula>LEFT(A1,LEN("RE"))="RE"</formula>
    </cfRule>
  </conditionalFormatting>
  <conditionalFormatting sqref="A60:A64">
    <cfRule type="beginsWith" dxfId="91" priority="135" operator="beginsWith" text="RE">
      <formula>LEFT(A60,LEN("RE"))="RE"</formula>
    </cfRule>
    <cfRule type="containsText" dxfId="90" priority="136" operator="containsText" text="&quot;RELEVANTNÍ&quot;">
      <formula>NOT(ISERROR(SEARCH("""RELEVANTNÍ""",A60)))</formula>
    </cfRule>
  </conditionalFormatting>
  <conditionalFormatting sqref="A94:A95 A176:A1048576">
    <cfRule type="containsText" dxfId="89" priority="171" operator="containsText" text="&quot;RELEVANTNÍ&quot;">
      <formula>NOT(ISERROR(SEARCH("""RELEVANTNÍ""",A94)))</formula>
    </cfRule>
    <cfRule type="beginsWith" dxfId="88" priority="170" operator="beginsWith" text="RE">
      <formula>LEFT(A94,LEN("RE"))="RE"</formula>
    </cfRule>
  </conditionalFormatting>
  <conditionalFormatting sqref="A127:A132">
    <cfRule type="beginsWith" dxfId="87" priority="65" operator="beginsWith" text="RE">
      <formula>LEFT(A127,LEN("RE"))="RE"</formula>
    </cfRule>
    <cfRule type="containsText" dxfId="86" priority="66" operator="containsText" text="&quot;RELEVANTNÍ&quot;">
      <formula>NOT(ISERROR(SEARCH("""RELEVANTNÍ""",A127)))</formula>
    </cfRule>
  </conditionalFormatting>
  <conditionalFormatting sqref="B44:D44">
    <cfRule type="expression" dxfId="85" priority="8">
      <formula>IF(AND($E$11="Ano",$E$13="Ano"),1,0)</formula>
    </cfRule>
  </conditionalFormatting>
  <conditionalFormatting sqref="B78:D78">
    <cfRule type="expression" dxfId="84" priority="5">
      <formula>IF(AND($E$11="Ano",$E$13="Ano"),1,0)</formula>
    </cfRule>
  </conditionalFormatting>
  <conditionalFormatting sqref="B111:D111">
    <cfRule type="expression" dxfId="83" priority="2">
      <formula>IF(AND($E$11="Ano",$E$13="Ano"),1,0)</formula>
    </cfRule>
  </conditionalFormatting>
  <conditionalFormatting sqref="B177:E177">
    <cfRule type="beginsWith" dxfId="82" priority="46" operator="beginsWith" text="Test">
      <formula>LEFT(B177,LEN("Test"))="Test"</formula>
    </cfRule>
  </conditionalFormatting>
  <conditionalFormatting sqref="C31:D32">
    <cfRule type="expression" dxfId="81" priority="9">
      <formula>IF(AND($E$11="Ano",$E$13="Ano"),1,0)</formula>
    </cfRule>
  </conditionalFormatting>
  <conditionalFormatting sqref="C34:D43">
    <cfRule type="expression" dxfId="80" priority="10">
      <formula>IF(AND($E$11="Ano",$E$13="Ano"),1,0)</formula>
    </cfRule>
  </conditionalFormatting>
  <conditionalFormatting sqref="C46:D48">
    <cfRule type="expression" dxfId="79" priority="44">
      <formula>IF($E$12="ANO",1,0)</formula>
    </cfRule>
  </conditionalFormatting>
  <conditionalFormatting sqref="C65:D66">
    <cfRule type="expression" dxfId="78" priority="4">
      <formula>IF(AND($E$11="Ano",$E$13="Ano"),1,0)</formula>
    </cfRule>
  </conditionalFormatting>
  <conditionalFormatting sqref="C68:D77">
    <cfRule type="expression" dxfId="77" priority="6">
      <formula>IF(AND($E$11="Ano",$E$13="Ano"),1,0)</formula>
    </cfRule>
  </conditionalFormatting>
  <conditionalFormatting sqref="C80:D82">
    <cfRule type="expression" dxfId="76" priority="43">
      <formula>IF($E$12="ANO",1,0)</formula>
    </cfRule>
  </conditionalFormatting>
  <conditionalFormatting sqref="C98:D99">
    <cfRule type="expression" dxfId="75" priority="1">
      <formula>IF(AND($E$11="Ano",$E$13="Ano"),1,0)</formula>
    </cfRule>
  </conditionalFormatting>
  <conditionalFormatting sqref="C101:D110">
    <cfRule type="expression" dxfId="74" priority="3">
      <formula>IF(AND($E$11="Ano",$E$13="Ano"),1,0)</formula>
    </cfRule>
  </conditionalFormatting>
  <conditionalFormatting sqref="C113:D115">
    <cfRule type="expression" dxfId="73" priority="41">
      <formula>IF($E$12="ANO",1,0)</formula>
    </cfRule>
  </conditionalFormatting>
  <conditionalFormatting sqref="E31 J31:M31 E32:M32">
    <cfRule type="expression" dxfId="72" priority="34">
      <formula>IF(AND($E$11="Ano",$E$13="Ano"),1,0)</formula>
    </cfRule>
  </conditionalFormatting>
  <conditionalFormatting sqref="E65 H78:M78 J93:M93">
    <cfRule type="beginsWith" dxfId="71" priority="134" operator="beginsWith" text="RE">
      <formula>LEFT(E65,LEN("RE"))="RE"</formula>
    </cfRule>
  </conditionalFormatting>
  <conditionalFormatting sqref="E65 J65:M65 E66:M67">
    <cfRule type="expression" dxfId="70" priority="32">
      <formula>IF(AND($E$11="Ano",$E$13="Ano"),1,0)</formula>
    </cfRule>
  </conditionalFormatting>
  <conditionalFormatting sqref="E68:E78">
    <cfRule type="expression" dxfId="69" priority="35">
      <formula>IF(AND($E$11="Ano",$E$13="Ano"),1,0)</formula>
    </cfRule>
  </conditionalFormatting>
  <conditionalFormatting sqref="E69:E78">
    <cfRule type="beginsWith" dxfId="68" priority="119" operator="beginsWith" text="RE">
      <formula>LEFT(E69,LEN("RE"))="RE"</formula>
    </cfRule>
  </conditionalFormatting>
  <conditionalFormatting sqref="E80">
    <cfRule type="beginsWith" dxfId="67" priority="126" operator="beginsWith" text="RE">
      <formula>LEFT(E80,LEN("RE"))="RE"</formula>
    </cfRule>
  </conditionalFormatting>
  <conditionalFormatting sqref="E83:E93">
    <cfRule type="beginsWith" dxfId="66" priority="127" operator="beginsWith" text="RE">
      <formula>LEFT(E83,LEN("RE"))="RE"</formula>
    </cfRule>
  </conditionalFormatting>
  <conditionalFormatting sqref="E101:E111">
    <cfRule type="expression" dxfId="65" priority="14">
      <formula>IF(AND($E$11="Ano",$E$13="Ano"),1,0)</formula>
    </cfRule>
  </conditionalFormatting>
  <conditionalFormatting sqref="E126">
    <cfRule type="beginsWith" dxfId="64" priority="124" operator="beginsWith" text="RE">
      <formula>LEFT(E126,LEN("RE"))="RE"</formula>
    </cfRule>
  </conditionalFormatting>
  <conditionalFormatting sqref="E132 E133:F134 F135:F138 E139:F141 F142:F145 E178:F179 B179:B180 E181:F1048576">
    <cfRule type="beginsWith" dxfId="63" priority="79" operator="beginsWith" text="RE">
      <formula>LEFT(B132,LEN("RE"))="RE"</formula>
    </cfRule>
  </conditionalFormatting>
  <conditionalFormatting sqref="E135">
    <cfRule type="beginsWith" dxfId="62" priority="70" operator="beginsWith" text="RE">
      <formula>LEFT(E135,LEN("RE"))="RE"</formula>
    </cfRule>
  </conditionalFormatting>
  <conditionalFormatting sqref="E136:E138">
    <cfRule type="expression" dxfId="61" priority="77">
      <formula>$E$59="NERELEVANTNÍ"</formula>
    </cfRule>
  </conditionalFormatting>
  <conditionalFormatting sqref="E137:E138">
    <cfRule type="beginsWith" dxfId="60" priority="78" operator="beginsWith" text="RE">
      <formula>LEFT(E137,LEN("RE"))="RE"</formula>
    </cfRule>
  </conditionalFormatting>
  <conditionalFormatting sqref="E139">
    <cfRule type="containsText" dxfId="59" priority="81" operator="containsText" text="Ano">
      <formula>NOT(ISERROR(SEARCH("Ano",E139)))</formula>
    </cfRule>
    <cfRule type="containsText" dxfId="58" priority="80" operator="containsText" text="Ne">
      <formula>NOT(ISERROR(SEARCH("Ne",E139)))</formula>
    </cfRule>
  </conditionalFormatting>
  <conditionalFormatting sqref="E142">
    <cfRule type="beginsWith" dxfId="57" priority="69" operator="beginsWith" text="RE">
      <formula>LEFT(E142,LEN("RE"))="RE"</formula>
    </cfRule>
  </conditionalFormatting>
  <conditionalFormatting sqref="E143:E145">
    <cfRule type="expression" dxfId="56" priority="75">
      <formula>$E$66="NERELEVANTNÍ"</formula>
    </cfRule>
  </conditionalFormatting>
  <conditionalFormatting sqref="E144:E145">
    <cfRule type="beginsWith" dxfId="55" priority="76" operator="beginsWith" text="RE">
      <formula>LEFT(E144,LEN("RE"))="RE"</formula>
    </cfRule>
  </conditionalFormatting>
  <conditionalFormatting sqref="E146:E147 E152 E173 E175">
    <cfRule type="containsText" dxfId="54" priority="82" operator="containsText" text="Ne">
      <formula>NOT(ISERROR(SEARCH("Ne",E146)))</formula>
    </cfRule>
    <cfRule type="containsText" dxfId="53" priority="83" operator="containsText" text="Ano">
      <formula>NOT(ISERROR(SEARCH("Ano",E146)))</formula>
    </cfRule>
  </conditionalFormatting>
  <conditionalFormatting sqref="E148">
    <cfRule type="beginsWith" dxfId="52" priority="61" operator="beginsWith" text="RE">
      <formula>LEFT(E148,LEN("RE"))="RE"</formula>
    </cfRule>
  </conditionalFormatting>
  <conditionalFormatting sqref="E151">
    <cfRule type="containsText" dxfId="51" priority="58" operator="containsText" text="Ne">
      <formula>NOT(ISERROR(SEARCH("Ne",E151)))</formula>
    </cfRule>
    <cfRule type="containsText" dxfId="50" priority="59" operator="containsText" text="Ano">
      <formula>NOT(ISERROR(SEARCH("Ano",E151)))</formula>
    </cfRule>
    <cfRule type="beginsWith" dxfId="49" priority="60" operator="beginsWith" text="RE">
      <formula>LEFT(E151,LEN("RE"))="RE"</formula>
    </cfRule>
  </conditionalFormatting>
  <conditionalFormatting sqref="E153">
    <cfRule type="beginsWith" dxfId="48" priority="57" operator="beginsWith" text="RE">
      <formula>LEFT(E153,LEN("RE"))="RE"</formula>
    </cfRule>
  </conditionalFormatting>
  <conditionalFormatting sqref="E156">
    <cfRule type="containsText" dxfId="47" priority="48" operator="containsText" text="Ano">
      <formula>NOT(ISERROR(SEARCH("Ano",E156)))</formula>
    </cfRule>
    <cfRule type="beginsWith" dxfId="46" priority="49" operator="beginsWith" text="RE">
      <formula>LEFT(E156,LEN("RE"))="RE"</formula>
    </cfRule>
    <cfRule type="containsText" dxfId="45" priority="47" operator="containsText" text="Ne">
      <formula>NOT(ISERROR(SEARCH("Ne",E156)))</formula>
    </cfRule>
  </conditionalFormatting>
  <conditionalFormatting sqref="E1:F2 E3 E4:F4 H19 E46 E157:F160">
    <cfRule type="beginsWith" dxfId="44" priority="143" operator="beginsWith" text="RE">
      <formula>LEFT(E1,LEN("RE"))="RE"</formula>
    </cfRule>
  </conditionalFormatting>
  <conditionalFormatting sqref="E6:F6 F8:G8">
    <cfRule type="beginsWith" dxfId="43" priority="150" operator="beginsWith" text="RE">
      <formula>LEFT(E6,LEN("RE"))="RE"</formula>
    </cfRule>
  </conditionalFormatting>
  <conditionalFormatting sqref="E35:F43">
    <cfRule type="beginsWith" dxfId="42" priority="145" operator="beginsWith" text="RE">
      <formula>LEFT(E35,LEN("RE"))="RE"</formula>
    </cfRule>
  </conditionalFormatting>
  <conditionalFormatting sqref="E146:F147 F148:F151 E152:F152 F153:F156">
    <cfRule type="beginsWith" dxfId="41" priority="68" operator="beginsWith" text="RE">
      <formula>LEFT(E146,LEN("RE"))="RE"</formula>
    </cfRule>
  </conditionalFormatting>
  <conditionalFormatting sqref="E161:F162">
    <cfRule type="expression" dxfId="40" priority="73">
      <formula>$E$73="NERELEVANTNÍ"</formula>
    </cfRule>
  </conditionalFormatting>
  <conditionalFormatting sqref="E162:F162">
    <cfRule type="beginsWith" dxfId="39" priority="74" operator="beginsWith" text="RE">
      <formula>LEFT(E162,LEN("RE"))="RE"</formula>
    </cfRule>
  </conditionalFormatting>
  <conditionalFormatting sqref="E163:F166">
    <cfRule type="beginsWith" dxfId="38" priority="67" operator="beginsWith" text="RE">
      <formula>LEFT(E163,LEN("RE"))="RE"</formula>
    </cfRule>
  </conditionalFormatting>
  <conditionalFormatting sqref="E167:F169">
    <cfRule type="expression" dxfId="37" priority="71">
      <formula>$E$73="NERELEVANTNÍ"</formula>
    </cfRule>
  </conditionalFormatting>
  <conditionalFormatting sqref="E168:F168">
    <cfRule type="beginsWith" dxfId="36" priority="72" operator="beginsWith" text="RE">
      <formula>LEFT(E168,LEN("RE"))="RE"</formula>
    </cfRule>
  </conditionalFormatting>
  <conditionalFormatting sqref="E170:F175 E49:E59 E176">
    <cfRule type="beginsWith" dxfId="35" priority="144" operator="beginsWith" text="RE">
      <formula>LEFT(E49,LEN("RE"))="RE"</formula>
    </cfRule>
  </conditionalFormatting>
  <conditionalFormatting sqref="E5:G5">
    <cfRule type="containsText" dxfId="34" priority="17" operator="containsText" text="Duplicitní">
      <formula>NOT(ISERROR(SEARCH("Duplicitní",E5)))</formula>
    </cfRule>
    <cfRule type="containsText" dxfId="33" priority="20" operator="containsText" text="Nejprve">
      <formula>NOT(ISERROR(SEARCH("Nejprve",E5)))</formula>
    </cfRule>
  </conditionalFormatting>
  <conditionalFormatting sqref="E7:G7">
    <cfRule type="containsText" dxfId="32" priority="19" operator="containsText" text="Nejprve">
      <formula>NOT(ISERROR(SEARCH("Nejprve",E7)))</formula>
    </cfRule>
    <cfRule type="containsText" dxfId="31" priority="16" operator="containsText" text="Duplicitní">
      <formula>NOT(ISERROR(SEARCH("Duplicitní",E7)))</formula>
    </cfRule>
  </conditionalFormatting>
  <conditionalFormatting sqref="E9:G9">
    <cfRule type="containsText" dxfId="30" priority="18" operator="containsText" text="Nejprve">
      <formula>NOT(ISERROR(SEARCH("Nejprve",E9)))</formula>
    </cfRule>
    <cfRule type="containsText" dxfId="29" priority="15" operator="containsText" text="Duplicitní">
      <formula>NOT(ISERROR(SEARCH("Duplicitní",E9)))</formula>
    </cfRule>
  </conditionalFormatting>
  <conditionalFormatting sqref="E34:G44">
    <cfRule type="expression" dxfId="28" priority="36">
      <formula>IF(AND($E$11="Ano",$E$13="Ano"),1,0)</formula>
    </cfRule>
  </conditionalFormatting>
  <conditionalFormatting sqref="E33:M33">
    <cfRule type="expression" dxfId="27" priority="33">
      <formula>IF(AND($E$11="Ano",$E$13="Ano"),1,0)</formula>
    </cfRule>
  </conditionalFormatting>
  <conditionalFormatting sqref="E46:M48 E80:M82 T30 B49:C58 B59:D59 B83:C92 B93:D93 T97 E113:M115 B116:C125 B126:D126">
    <cfRule type="expression" dxfId="26" priority="424">
      <formula>IF($E$12="ANO",1,0)</formula>
    </cfRule>
  </conditionalFormatting>
  <conditionalFormatting sqref="E98:M100">
    <cfRule type="expression" dxfId="25" priority="31">
      <formula>IF(AND($E$11="Ano",$E$13="Ano"),1,0)</formula>
    </cfRule>
  </conditionalFormatting>
  <conditionalFormatting sqref="F12:G16">
    <cfRule type="beginsWith" dxfId="24" priority="107" operator="beginsWith" text="RE">
      <formula>LEFT(F12,LEN("RE"))="RE"</formula>
    </cfRule>
  </conditionalFormatting>
  <conditionalFormatting sqref="F66:G66">
    <cfRule type="expression" dxfId="23" priority="25">
      <formula>IF($E$11="Ano",1,0)</formula>
    </cfRule>
  </conditionalFormatting>
  <conditionalFormatting sqref="F99:I99">
    <cfRule type="expression" dxfId="22" priority="23">
      <formula>IF($E$11="Ano",1,0)</formula>
    </cfRule>
  </conditionalFormatting>
  <conditionalFormatting sqref="H173">
    <cfRule type="containsText" dxfId="21" priority="64" operator="containsText" text="Ano">
      <formula>NOT(ISERROR(SEARCH("Ano",H173)))</formula>
    </cfRule>
    <cfRule type="beginsWith" dxfId="20" priority="62" operator="beginsWith" text="RE">
      <formula>LEFT(H173,LEN("RE"))="RE"</formula>
    </cfRule>
    <cfRule type="containsText" dxfId="19" priority="63" operator="containsText" text="Ne">
      <formula>NOT(ISERROR(SEARCH("Ne",H173)))</formula>
    </cfRule>
  </conditionalFormatting>
  <conditionalFormatting sqref="H32:I32">
    <cfRule type="expression" dxfId="18" priority="27">
      <formula>IF($E$11="Ano",1,0)</formula>
    </cfRule>
  </conditionalFormatting>
  <conditionalFormatting sqref="H68:I78">
    <cfRule type="expression" dxfId="17" priority="22">
      <formula>IF(AND($E$11="Ano",$E$13="Ano"),1,0)</formula>
    </cfRule>
  </conditionalFormatting>
  <conditionalFormatting sqref="H158:K173">
    <cfRule type="expression" dxfId="16" priority="21">
      <formula>IF($K$158="NEPOČÍTÁ SE",1,0)</formula>
    </cfRule>
  </conditionalFormatting>
  <conditionalFormatting sqref="J31:M32">
    <cfRule type="expression" dxfId="15" priority="28">
      <formula>IF($E$11="Ano",1,0)</formula>
    </cfRule>
  </conditionalFormatting>
  <conditionalFormatting sqref="J34:M34">
    <cfRule type="beginsWith" dxfId="14" priority="164" operator="beginsWith" text="RE">
      <formula>LEFT(J34,LEN("RE"))="RE"</formula>
    </cfRule>
  </conditionalFormatting>
  <conditionalFormatting sqref="J34:M44">
    <cfRule type="expression" dxfId="13" priority="39">
      <formula>IF($E$11="Ano",1,0)</formula>
    </cfRule>
  </conditionalFormatting>
  <conditionalFormatting sqref="J44:M44 F34 E44:G44 E31 E28:F28 J59:M59 E60:F61 E94:F95 E127:F131">
    <cfRule type="beginsWith" dxfId="12" priority="169" operator="beginsWith" text="RE">
      <formula>LEFT(E28,LEN("RE"))="RE"</formula>
    </cfRule>
  </conditionalFormatting>
  <conditionalFormatting sqref="J49:M59 E49:F49 E50:E58 B59:E59 E46:M48 J83:M93 E83:F83 E84:E92 B93:E93 E80:M82 B126:E126 J116:M126 T30 B46 B49:C58 B80 B83:C92 T97 B113 E113:M115 E116:F116 B116:C125 E117:E125">
    <cfRule type="expression" dxfId="11" priority="421">
      <formula>IF($E$12="ANO",1,0)</formula>
    </cfRule>
  </conditionalFormatting>
  <conditionalFormatting sqref="J65:M66">
    <cfRule type="expression" dxfId="10" priority="26">
      <formula>IF($E$11="Ano",1,0)</formula>
    </cfRule>
  </conditionalFormatting>
  <conditionalFormatting sqref="J68:M68">
    <cfRule type="beginsWith" dxfId="9" priority="131" operator="beginsWith" text="RE">
      <formula>LEFT(J68,LEN("RE"))="RE"</formula>
    </cfRule>
  </conditionalFormatting>
  <conditionalFormatting sqref="J68:M78">
    <cfRule type="expression" dxfId="8" priority="30">
      <formula>IF($E$11="Ano",1,0)</formula>
    </cfRule>
  </conditionalFormatting>
  <conditionalFormatting sqref="J98:M99">
    <cfRule type="expression" dxfId="7" priority="24">
      <formula>IF($E$11="Ano",1,0)</formula>
    </cfRule>
  </conditionalFormatting>
  <conditionalFormatting sqref="J101:M111">
    <cfRule type="expression" dxfId="6" priority="37">
      <formula>IF($E$11="Ano",1,0)</formula>
    </cfRule>
  </conditionalFormatting>
  <conditionalFormatting sqref="J111:M111 E111">
    <cfRule type="beginsWith" dxfId="5" priority="125" operator="beginsWith" text="RE">
      <formula>LEFT(E111,LEN("RE"))="RE"</formula>
    </cfRule>
  </conditionalFormatting>
  <conditionalFormatting sqref="J126:M126">
    <cfRule type="beginsWith" dxfId="4" priority="123" operator="beginsWith" text="RE">
      <formula>LEFT(J126,LEN("RE"))="RE"</formula>
    </cfRule>
  </conditionalFormatting>
  <conditionalFormatting sqref="M49">
    <cfRule type="beginsWith" dxfId="3" priority="163" operator="beginsWith" text="RE">
      <formula>LEFT(M49,LEN("RE"))="RE"</formula>
    </cfRule>
  </conditionalFormatting>
  <conditionalFormatting sqref="M83">
    <cfRule type="beginsWith" dxfId="2" priority="130" operator="beginsWith" text="RE">
      <formula>LEFT(M83,LEN("RE"))="RE"</formula>
    </cfRule>
  </conditionalFormatting>
  <pageMargins left="0.39370078740157483" right="0.39370078740157483" top="0.39370078740157483" bottom="0.39370078740157483" header="0.31496062992125984" footer="0.31496062992125984"/>
  <pageSetup paperSize="9" scale="58" fitToHeight="0" orientation="landscape" r:id="rId1"/>
  <rowBreaks count="2" manualBreakCount="2">
    <brk id="45" max="16383" man="1"/>
    <brk id="140" max="13" man="1"/>
  </rowBreaks>
  <colBreaks count="2" manualBreakCount="2">
    <brk id="5" min="1" max="180" man="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02" r:id="rId4" name="Check Box 54">
              <controlPr defaultSize="0" autoFill="0" autoLine="0" autoPict="0">
                <anchor moveWithCells="1">
                  <from>
                    <xdr:col>1</xdr:col>
                    <xdr:colOff>4267200</xdr:colOff>
                    <xdr:row>38</xdr:row>
                    <xdr:rowOff>9525</xdr:rowOff>
                  </from>
                  <to>
                    <xdr:col>1</xdr:col>
                    <xdr:colOff>4476750</xdr:colOff>
                    <xdr:row>39</xdr:row>
                    <xdr:rowOff>0</xdr:rowOff>
                  </to>
                </anchor>
              </controlPr>
            </control>
          </mc:Choice>
        </mc:AlternateContent>
        <mc:AlternateContent xmlns:mc="http://schemas.openxmlformats.org/markup-compatibility/2006">
          <mc:Choice Requires="x14">
            <control shapeId="2103" r:id="rId5" name="Check Box 55">
              <controlPr defaultSize="0" autoFill="0" autoLine="0" autoPict="0">
                <anchor moveWithCells="1">
                  <from>
                    <xdr:col>1</xdr:col>
                    <xdr:colOff>4267200</xdr:colOff>
                    <xdr:row>39</xdr:row>
                    <xdr:rowOff>9525</xdr:rowOff>
                  </from>
                  <to>
                    <xdr:col>1</xdr:col>
                    <xdr:colOff>4476750</xdr:colOff>
                    <xdr:row>40</xdr:row>
                    <xdr:rowOff>0</xdr:rowOff>
                  </to>
                </anchor>
              </controlPr>
            </control>
          </mc:Choice>
        </mc:AlternateContent>
        <mc:AlternateContent xmlns:mc="http://schemas.openxmlformats.org/markup-compatibility/2006">
          <mc:Choice Requires="x14">
            <control shapeId="2104" r:id="rId6" name="Check Box 56">
              <controlPr defaultSize="0" autoFill="0" autoLine="0" autoPict="0">
                <anchor moveWithCells="1">
                  <from>
                    <xdr:col>1</xdr:col>
                    <xdr:colOff>4267200</xdr:colOff>
                    <xdr:row>40</xdr:row>
                    <xdr:rowOff>9525</xdr:rowOff>
                  </from>
                  <to>
                    <xdr:col>1</xdr:col>
                    <xdr:colOff>4476750</xdr:colOff>
                    <xdr:row>41</xdr:row>
                    <xdr:rowOff>0</xdr:rowOff>
                  </to>
                </anchor>
              </controlPr>
            </control>
          </mc:Choice>
        </mc:AlternateContent>
        <mc:AlternateContent xmlns:mc="http://schemas.openxmlformats.org/markup-compatibility/2006">
          <mc:Choice Requires="x14">
            <control shapeId="2105" r:id="rId7" name="Check Box 57">
              <controlPr defaultSize="0" autoFill="0" autoLine="0" autoPict="0">
                <anchor moveWithCells="1">
                  <from>
                    <xdr:col>1</xdr:col>
                    <xdr:colOff>4267200</xdr:colOff>
                    <xdr:row>41</xdr:row>
                    <xdr:rowOff>9525</xdr:rowOff>
                  </from>
                  <to>
                    <xdr:col>1</xdr:col>
                    <xdr:colOff>4476750</xdr:colOff>
                    <xdr:row>42</xdr:row>
                    <xdr:rowOff>0</xdr:rowOff>
                  </to>
                </anchor>
              </controlPr>
            </control>
          </mc:Choice>
        </mc:AlternateContent>
        <mc:AlternateContent xmlns:mc="http://schemas.openxmlformats.org/markup-compatibility/2006">
          <mc:Choice Requires="x14">
            <control shapeId="2106" r:id="rId8" name="Check Box 58">
              <controlPr defaultSize="0" autoFill="0" autoLine="0" autoPict="0">
                <anchor moveWithCells="1">
                  <from>
                    <xdr:col>1</xdr:col>
                    <xdr:colOff>4267200</xdr:colOff>
                    <xdr:row>42</xdr:row>
                    <xdr:rowOff>9525</xdr:rowOff>
                  </from>
                  <to>
                    <xdr:col>1</xdr:col>
                    <xdr:colOff>4476750</xdr:colOff>
                    <xdr:row>43</xdr:row>
                    <xdr:rowOff>0</xdr:rowOff>
                  </to>
                </anchor>
              </controlPr>
            </control>
          </mc:Choice>
        </mc:AlternateContent>
        <mc:AlternateContent xmlns:mc="http://schemas.openxmlformats.org/markup-compatibility/2006">
          <mc:Choice Requires="x14">
            <control shapeId="2108" r:id="rId9" name="Check Box 60">
              <controlPr defaultSize="0" autoFill="0" autoLine="0" autoPict="0">
                <anchor moveWithCells="1">
                  <from>
                    <xdr:col>1</xdr:col>
                    <xdr:colOff>4267200</xdr:colOff>
                    <xdr:row>67</xdr:row>
                    <xdr:rowOff>9525</xdr:rowOff>
                  </from>
                  <to>
                    <xdr:col>1</xdr:col>
                    <xdr:colOff>4476750</xdr:colOff>
                    <xdr:row>68</xdr:row>
                    <xdr:rowOff>0</xdr:rowOff>
                  </to>
                </anchor>
              </controlPr>
            </control>
          </mc:Choice>
        </mc:AlternateContent>
        <mc:AlternateContent xmlns:mc="http://schemas.openxmlformats.org/markup-compatibility/2006">
          <mc:Choice Requires="x14">
            <control shapeId="2109" r:id="rId10" name="Check Box 61">
              <controlPr defaultSize="0" autoFill="0" autoLine="0" autoPict="0">
                <anchor moveWithCells="1">
                  <from>
                    <xdr:col>1</xdr:col>
                    <xdr:colOff>4267200</xdr:colOff>
                    <xdr:row>68</xdr:row>
                    <xdr:rowOff>9525</xdr:rowOff>
                  </from>
                  <to>
                    <xdr:col>1</xdr:col>
                    <xdr:colOff>4476750</xdr:colOff>
                    <xdr:row>69</xdr:row>
                    <xdr:rowOff>0</xdr:rowOff>
                  </to>
                </anchor>
              </controlPr>
            </control>
          </mc:Choice>
        </mc:AlternateContent>
        <mc:AlternateContent xmlns:mc="http://schemas.openxmlformats.org/markup-compatibility/2006">
          <mc:Choice Requires="x14">
            <control shapeId="2110" r:id="rId11" name="Check Box 62">
              <controlPr defaultSize="0" autoFill="0" autoLine="0" autoPict="0">
                <anchor moveWithCells="1">
                  <from>
                    <xdr:col>1</xdr:col>
                    <xdr:colOff>4267200</xdr:colOff>
                    <xdr:row>69</xdr:row>
                    <xdr:rowOff>9525</xdr:rowOff>
                  </from>
                  <to>
                    <xdr:col>1</xdr:col>
                    <xdr:colOff>4476750</xdr:colOff>
                    <xdr:row>70</xdr:row>
                    <xdr:rowOff>0</xdr:rowOff>
                  </to>
                </anchor>
              </controlPr>
            </control>
          </mc:Choice>
        </mc:AlternateContent>
        <mc:AlternateContent xmlns:mc="http://schemas.openxmlformats.org/markup-compatibility/2006">
          <mc:Choice Requires="x14">
            <control shapeId="2111" r:id="rId12" name="Check Box 63">
              <controlPr defaultSize="0" autoFill="0" autoLine="0" autoPict="0">
                <anchor moveWithCells="1">
                  <from>
                    <xdr:col>1</xdr:col>
                    <xdr:colOff>4267200</xdr:colOff>
                    <xdr:row>70</xdr:row>
                    <xdr:rowOff>9525</xdr:rowOff>
                  </from>
                  <to>
                    <xdr:col>1</xdr:col>
                    <xdr:colOff>4476750</xdr:colOff>
                    <xdr:row>71</xdr:row>
                    <xdr:rowOff>0</xdr:rowOff>
                  </to>
                </anchor>
              </controlPr>
            </control>
          </mc:Choice>
        </mc:AlternateContent>
        <mc:AlternateContent xmlns:mc="http://schemas.openxmlformats.org/markup-compatibility/2006">
          <mc:Choice Requires="x14">
            <control shapeId="2112" r:id="rId13" name="Check Box 64">
              <controlPr defaultSize="0" autoFill="0" autoLine="0" autoPict="0">
                <anchor moveWithCells="1">
                  <from>
                    <xdr:col>1</xdr:col>
                    <xdr:colOff>4267200</xdr:colOff>
                    <xdr:row>71</xdr:row>
                    <xdr:rowOff>9525</xdr:rowOff>
                  </from>
                  <to>
                    <xdr:col>1</xdr:col>
                    <xdr:colOff>4476750</xdr:colOff>
                    <xdr:row>72</xdr:row>
                    <xdr:rowOff>0</xdr:rowOff>
                  </to>
                </anchor>
              </controlPr>
            </control>
          </mc:Choice>
        </mc:AlternateContent>
        <mc:AlternateContent xmlns:mc="http://schemas.openxmlformats.org/markup-compatibility/2006">
          <mc:Choice Requires="x14">
            <control shapeId="2113" r:id="rId14" name="Check Box 65">
              <controlPr defaultSize="0" autoFill="0" autoLine="0" autoPict="0">
                <anchor moveWithCells="1">
                  <from>
                    <xdr:col>1</xdr:col>
                    <xdr:colOff>4267200</xdr:colOff>
                    <xdr:row>72</xdr:row>
                    <xdr:rowOff>9525</xdr:rowOff>
                  </from>
                  <to>
                    <xdr:col>1</xdr:col>
                    <xdr:colOff>4476750</xdr:colOff>
                    <xdr:row>73</xdr:row>
                    <xdr:rowOff>0</xdr:rowOff>
                  </to>
                </anchor>
              </controlPr>
            </control>
          </mc:Choice>
        </mc:AlternateContent>
        <mc:AlternateContent xmlns:mc="http://schemas.openxmlformats.org/markup-compatibility/2006">
          <mc:Choice Requires="x14">
            <control shapeId="2114" r:id="rId15" name="Check Box 66">
              <controlPr defaultSize="0" autoFill="0" autoLine="0" autoPict="0">
                <anchor moveWithCells="1">
                  <from>
                    <xdr:col>1</xdr:col>
                    <xdr:colOff>4267200</xdr:colOff>
                    <xdr:row>73</xdr:row>
                    <xdr:rowOff>9525</xdr:rowOff>
                  </from>
                  <to>
                    <xdr:col>1</xdr:col>
                    <xdr:colOff>4476750</xdr:colOff>
                    <xdr:row>74</xdr:row>
                    <xdr:rowOff>0</xdr:rowOff>
                  </to>
                </anchor>
              </controlPr>
            </control>
          </mc:Choice>
        </mc:AlternateContent>
        <mc:AlternateContent xmlns:mc="http://schemas.openxmlformats.org/markup-compatibility/2006">
          <mc:Choice Requires="x14">
            <control shapeId="2115" r:id="rId16" name="Check Box 67">
              <controlPr defaultSize="0" autoFill="0" autoLine="0" autoPict="0">
                <anchor moveWithCells="1">
                  <from>
                    <xdr:col>1</xdr:col>
                    <xdr:colOff>4267200</xdr:colOff>
                    <xdr:row>74</xdr:row>
                    <xdr:rowOff>9525</xdr:rowOff>
                  </from>
                  <to>
                    <xdr:col>1</xdr:col>
                    <xdr:colOff>4476750</xdr:colOff>
                    <xdr:row>75</xdr:row>
                    <xdr:rowOff>0</xdr:rowOff>
                  </to>
                </anchor>
              </controlPr>
            </control>
          </mc:Choice>
        </mc:AlternateContent>
        <mc:AlternateContent xmlns:mc="http://schemas.openxmlformats.org/markup-compatibility/2006">
          <mc:Choice Requires="x14">
            <control shapeId="2116" r:id="rId17" name="Check Box 68">
              <controlPr defaultSize="0" autoFill="0" autoLine="0" autoPict="0">
                <anchor moveWithCells="1">
                  <from>
                    <xdr:col>1</xdr:col>
                    <xdr:colOff>4267200</xdr:colOff>
                    <xdr:row>75</xdr:row>
                    <xdr:rowOff>9525</xdr:rowOff>
                  </from>
                  <to>
                    <xdr:col>1</xdr:col>
                    <xdr:colOff>4476750</xdr:colOff>
                    <xdr:row>76</xdr:row>
                    <xdr:rowOff>0</xdr:rowOff>
                  </to>
                </anchor>
              </controlPr>
            </control>
          </mc:Choice>
        </mc:AlternateContent>
        <mc:AlternateContent xmlns:mc="http://schemas.openxmlformats.org/markup-compatibility/2006">
          <mc:Choice Requires="x14">
            <control shapeId="2117" r:id="rId18" name="Check Box 69">
              <controlPr defaultSize="0" autoFill="0" autoLine="0" autoPict="0">
                <anchor moveWithCells="1">
                  <from>
                    <xdr:col>1</xdr:col>
                    <xdr:colOff>4267200</xdr:colOff>
                    <xdr:row>76</xdr:row>
                    <xdr:rowOff>9525</xdr:rowOff>
                  </from>
                  <to>
                    <xdr:col>1</xdr:col>
                    <xdr:colOff>4476750</xdr:colOff>
                    <xdr:row>77</xdr:row>
                    <xdr:rowOff>0</xdr:rowOff>
                  </to>
                </anchor>
              </controlPr>
            </control>
          </mc:Choice>
        </mc:AlternateContent>
        <mc:AlternateContent xmlns:mc="http://schemas.openxmlformats.org/markup-compatibility/2006">
          <mc:Choice Requires="x14">
            <control shapeId="2118" r:id="rId19" name="Check Box 70">
              <controlPr defaultSize="0" autoFill="0" autoLine="0" autoPict="0">
                <anchor moveWithCells="1">
                  <from>
                    <xdr:col>1</xdr:col>
                    <xdr:colOff>4267200</xdr:colOff>
                    <xdr:row>100</xdr:row>
                    <xdr:rowOff>9525</xdr:rowOff>
                  </from>
                  <to>
                    <xdr:col>1</xdr:col>
                    <xdr:colOff>4476750</xdr:colOff>
                    <xdr:row>101</xdr:row>
                    <xdr:rowOff>0</xdr:rowOff>
                  </to>
                </anchor>
              </controlPr>
            </control>
          </mc:Choice>
        </mc:AlternateContent>
        <mc:AlternateContent xmlns:mc="http://schemas.openxmlformats.org/markup-compatibility/2006">
          <mc:Choice Requires="x14">
            <control shapeId="2119" r:id="rId20" name="Check Box 71">
              <controlPr defaultSize="0" autoFill="0" autoLine="0" autoPict="0">
                <anchor moveWithCells="1">
                  <from>
                    <xdr:col>1</xdr:col>
                    <xdr:colOff>4267200</xdr:colOff>
                    <xdr:row>101</xdr:row>
                    <xdr:rowOff>9525</xdr:rowOff>
                  </from>
                  <to>
                    <xdr:col>1</xdr:col>
                    <xdr:colOff>4476750</xdr:colOff>
                    <xdr:row>102</xdr:row>
                    <xdr:rowOff>0</xdr:rowOff>
                  </to>
                </anchor>
              </controlPr>
            </control>
          </mc:Choice>
        </mc:AlternateContent>
        <mc:AlternateContent xmlns:mc="http://schemas.openxmlformats.org/markup-compatibility/2006">
          <mc:Choice Requires="x14">
            <control shapeId="2120" r:id="rId21" name="Check Box 72">
              <controlPr defaultSize="0" autoFill="0" autoLine="0" autoPict="0">
                <anchor moveWithCells="1">
                  <from>
                    <xdr:col>1</xdr:col>
                    <xdr:colOff>4267200</xdr:colOff>
                    <xdr:row>102</xdr:row>
                    <xdr:rowOff>9525</xdr:rowOff>
                  </from>
                  <to>
                    <xdr:col>1</xdr:col>
                    <xdr:colOff>4476750</xdr:colOff>
                    <xdr:row>103</xdr:row>
                    <xdr:rowOff>0</xdr:rowOff>
                  </to>
                </anchor>
              </controlPr>
            </control>
          </mc:Choice>
        </mc:AlternateContent>
        <mc:AlternateContent xmlns:mc="http://schemas.openxmlformats.org/markup-compatibility/2006">
          <mc:Choice Requires="x14">
            <control shapeId="2121" r:id="rId22" name="Check Box 73">
              <controlPr defaultSize="0" autoFill="0" autoLine="0" autoPict="0">
                <anchor moveWithCells="1">
                  <from>
                    <xdr:col>1</xdr:col>
                    <xdr:colOff>4267200</xdr:colOff>
                    <xdr:row>103</xdr:row>
                    <xdr:rowOff>9525</xdr:rowOff>
                  </from>
                  <to>
                    <xdr:col>1</xdr:col>
                    <xdr:colOff>4476750</xdr:colOff>
                    <xdr:row>104</xdr:row>
                    <xdr:rowOff>0</xdr:rowOff>
                  </to>
                </anchor>
              </controlPr>
            </control>
          </mc:Choice>
        </mc:AlternateContent>
        <mc:AlternateContent xmlns:mc="http://schemas.openxmlformats.org/markup-compatibility/2006">
          <mc:Choice Requires="x14">
            <control shapeId="2122" r:id="rId23" name="Check Box 74">
              <controlPr defaultSize="0" autoFill="0" autoLine="0" autoPict="0">
                <anchor moveWithCells="1">
                  <from>
                    <xdr:col>1</xdr:col>
                    <xdr:colOff>4267200</xdr:colOff>
                    <xdr:row>104</xdr:row>
                    <xdr:rowOff>9525</xdr:rowOff>
                  </from>
                  <to>
                    <xdr:col>1</xdr:col>
                    <xdr:colOff>4476750</xdr:colOff>
                    <xdr:row>105</xdr:row>
                    <xdr:rowOff>0</xdr:rowOff>
                  </to>
                </anchor>
              </controlPr>
            </control>
          </mc:Choice>
        </mc:AlternateContent>
        <mc:AlternateContent xmlns:mc="http://schemas.openxmlformats.org/markup-compatibility/2006">
          <mc:Choice Requires="x14">
            <control shapeId="2123" r:id="rId24" name="Check Box 75">
              <controlPr defaultSize="0" autoFill="0" autoLine="0" autoPict="0">
                <anchor moveWithCells="1">
                  <from>
                    <xdr:col>1</xdr:col>
                    <xdr:colOff>4267200</xdr:colOff>
                    <xdr:row>105</xdr:row>
                    <xdr:rowOff>9525</xdr:rowOff>
                  </from>
                  <to>
                    <xdr:col>1</xdr:col>
                    <xdr:colOff>4476750</xdr:colOff>
                    <xdr:row>106</xdr:row>
                    <xdr:rowOff>0</xdr:rowOff>
                  </to>
                </anchor>
              </controlPr>
            </control>
          </mc:Choice>
        </mc:AlternateContent>
        <mc:AlternateContent xmlns:mc="http://schemas.openxmlformats.org/markup-compatibility/2006">
          <mc:Choice Requires="x14">
            <control shapeId="2124" r:id="rId25" name="Check Box 76">
              <controlPr defaultSize="0" autoFill="0" autoLine="0" autoPict="0">
                <anchor moveWithCells="1">
                  <from>
                    <xdr:col>1</xdr:col>
                    <xdr:colOff>4267200</xdr:colOff>
                    <xdr:row>106</xdr:row>
                    <xdr:rowOff>9525</xdr:rowOff>
                  </from>
                  <to>
                    <xdr:col>1</xdr:col>
                    <xdr:colOff>4476750</xdr:colOff>
                    <xdr:row>107</xdr:row>
                    <xdr:rowOff>0</xdr:rowOff>
                  </to>
                </anchor>
              </controlPr>
            </control>
          </mc:Choice>
        </mc:AlternateContent>
        <mc:AlternateContent xmlns:mc="http://schemas.openxmlformats.org/markup-compatibility/2006">
          <mc:Choice Requires="x14">
            <control shapeId="2125" r:id="rId26" name="Check Box 77">
              <controlPr defaultSize="0" autoFill="0" autoLine="0" autoPict="0">
                <anchor moveWithCells="1">
                  <from>
                    <xdr:col>1</xdr:col>
                    <xdr:colOff>4267200</xdr:colOff>
                    <xdr:row>107</xdr:row>
                    <xdr:rowOff>9525</xdr:rowOff>
                  </from>
                  <to>
                    <xdr:col>1</xdr:col>
                    <xdr:colOff>4476750</xdr:colOff>
                    <xdr:row>108</xdr:row>
                    <xdr:rowOff>0</xdr:rowOff>
                  </to>
                </anchor>
              </controlPr>
            </control>
          </mc:Choice>
        </mc:AlternateContent>
        <mc:AlternateContent xmlns:mc="http://schemas.openxmlformats.org/markup-compatibility/2006">
          <mc:Choice Requires="x14">
            <control shapeId="2126" r:id="rId27" name="Check Box 78">
              <controlPr defaultSize="0" autoFill="0" autoLine="0" autoPict="0">
                <anchor moveWithCells="1">
                  <from>
                    <xdr:col>1</xdr:col>
                    <xdr:colOff>4267200</xdr:colOff>
                    <xdr:row>108</xdr:row>
                    <xdr:rowOff>9525</xdr:rowOff>
                  </from>
                  <to>
                    <xdr:col>1</xdr:col>
                    <xdr:colOff>4476750</xdr:colOff>
                    <xdr:row>109</xdr:row>
                    <xdr:rowOff>0</xdr:rowOff>
                  </to>
                </anchor>
              </controlPr>
            </control>
          </mc:Choice>
        </mc:AlternateContent>
        <mc:AlternateContent xmlns:mc="http://schemas.openxmlformats.org/markup-compatibility/2006">
          <mc:Choice Requires="x14">
            <control shapeId="2127" r:id="rId28" name="Check Box 79">
              <controlPr defaultSize="0" autoFill="0" autoLine="0" autoPict="0">
                <anchor moveWithCells="1">
                  <from>
                    <xdr:col>1</xdr:col>
                    <xdr:colOff>4267200</xdr:colOff>
                    <xdr:row>109</xdr:row>
                    <xdr:rowOff>9525</xdr:rowOff>
                  </from>
                  <to>
                    <xdr:col>1</xdr:col>
                    <xdr:colOff>4476750</xdr:colOff>
                    <xdr:row>110</xdr:row>
                    <xdr:rowOff>0</xdr:rowOff>
                  </to>
                </anchor>
              </controlPr>
            </control>
          </mc:Choice>
        </mc:AlternateContent>
        <mc:AlternateContent xmlns:mc="http://schemas.openxmlformats.org/markup-compatibility/2006">
          <mc:Choice Requires="x14">
            <control shapeId="2128" r:id="rId29" name="Check Box 80">
              <controlPr defaultSize="0" autoFill="0" autoLine="0" autoPict="0">
                <anchor moveWithCells="1">
                  <from>
                    <xdr:col>1</xdr:col>
                    <xdr:colOff>4267200</xdr:colOff>
                    <xdr:row>33</xdr:row>
                    <xdr:rowOff>9525</xdr:rowOff>
                  </from>
                  <to>
                    <xdr:col>1</xdr:col>
                    <xdr:colOff>4476750</xdr:colOff>
                    <xdr:row>34</xdr:row>
                    <xdr:rowOff>0</xdr:rowOff>
                  </to>
                </anchor>
              </controlPr>
            </control>
          </mc:Choice>
        </mc:AlternateContent>
        <mc:AlternateContent xmlns:mc="http://schemas.openxmlformats.org/markup-compatibility/2006">
          <mc:Choice Requires="x14">
            <control shapeId="2129" r:id="rId30" name="Check Box 81">
              <controlPr defaultSize="0" autoFill="0" autoLine="0" autoPict="0">
                <anchor moveWithCells="1">
                  <from>
                    <xdr:col>1</xdr:col>
                    <xdr:colOff>4267200</xdr:colOff>
                    <xdr:row>34</xdr:row>
                    <xdr:rowOff>9525</xdr:rowOff>
                  </from>
                  <to>
                    <xdr:col>1</xdr:col>
                    <xdr:colOff>4476750</xdr:colOff>
                    <xdr:row>35</xdr:row>
                    <xdr:rowOff>0</xdr:rowOff>
                  </to>
                </anchor>
              </controlPr>
            </control>
          </mc:Choice>
        </mc:AlternateContent>
        <mc:AlternateContent xmlns:mc="http://schemas.openxmlformats.org/markup-compatibility/2006">
          <mc:Choice Requires="x14">
            <control shapeId="2130" r:id="rId31" name="Check Box 82">
              <controlPr defaultSize="0" autoFill="0" autoLine="0" autoPict="0">
                <anchor moveWithCells="1">
                  <from>
                    <xdr:col>1</xdr:col>
                    <xdr:colOff>4267200</xdr:colOff>
                    <xdr:row>35</xdr:row>
                    <xdr:rowOff>9525</xdr:rowOff>
                  </from>
                  <to>
                    <xdr:col>1</xdr:col>
                    <xdr:colOff>4476750</xdr:colOff>
                    <xdr:row>36</xdr:row>
                    <xdr:rowOff>0</xdr:rowOff>
                  </to>
                </anchor>
              </controlPr>
            </control>
          </mc:Choice>
        </mc:AlternateContent>
        <mc:AlternateContent xmlns:mc="http://schemas.openxmlformats.org/markup-compatibility/2006">
          <mc:Choice Requires="x14">
            <control shapeId="2131" r:id="rId32" name="Check Box 83">
              <controlPr defaultSize="0" autoFill="0" autoLine="0" autoPict="0">
                <anchor moveWithCells="1">
                  <from>
                    <xdr:col>1</xdr:col>
                    <xdr:colOff>4267200</xdr:colOff>
                    <xdr:row>36</xdr:row>
                    <xdr:rowOff>9525</xdr:rowOff>
                  </from>
                  <to>
                    <xdr:col>1</xdr:col>
                    <xdr:colOff>4476750</xdr:colOff>
                    <xdr:row>37</xdr:row>
                    <xdr:rowOff>0</xdr:rowOff>
                  </to>
                </anchor>
              </controlPr>
            </control>
          </mc:Choice>
        </mc:AlternateContent>
        <mc:AlternateContent xmlns:mc="http://schemas.openxmlformats.org/markup-compatibility/2006">
          <mc:Choice Requires="x14">
            <control shapeId="2132" r:id="rId33" name="Check Box 84">
              <controlPr defaultSize="0" autoFill="0" autoLine="0" autoPict="0">
                <anchor moveWithCells="1">
                  <from>
                    <xdr:col>1</xdr:col>
                    <xdr:colOff>4267200</xdr:colOff>
                    <xdr:row>37</xdr:row>
                    <xdr:rowOff>9525</xdr:rowOff>
                  </from>
                  <to>
                    <xdr:col>1</xdr:col>
                    <xdr:colOff>4476750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0000000}">
          <x14:formula1>
            <xm:f>'typy žadatelů'!$B$78:$B$80</xm:f>
          </x14:formula1>
          <xm:sqref>E13:G16</xm:sqref>
        </x14:dataValidation>
        <x14:dataValidation type="list" allowBlank="1" showInputMessage="1" showErrorMessage="1" xr:uid="{00000000-0002-0000-0D00-000001000000}">
          <x14:formula1>
            <xm:f>Výpočty!$B$2:$B$6</xm:f>
          </x14:formula1>
          <xm:sqref>E11:G11</xm:sqref>
        </x14:dataValidation>
        <x14:dataValidation type="list" allowBlank="1" showInputMessage="1" showErrorMessage="1" xr:uid="{00000000-0002-0000-0D00-000002000000}">
          <x14:formula1>
            <xm:f>Výpočty!$B$35:$B$37</xm:f>
          </x14:formula1>
          <xm:sqref>E17:G17</xm:sqref>
        </x14:dataValidation>
        <x14:dataValidation type="list" allowBlank="1" showInputMessage="1" showErrorMessage="1" xr:uid="{00000000-0002-0000-0D00-000003000000}">
          <x14:formula1>
            <xm:f>Výpočty!$B$61:$B$62</xm:f>
          </x14:formula1>
          <xm:sqref>C34:D43 C68:D77 C101:D110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
  <sheetViews>
    <sheetView showGridLines="0" zoomScaleNormal="100" workbookViewId="0">
      <selection activeCell="L24" sqref="L24"/>
    </sheetView>
  </sheetViews>
  <sheetFormatPr defaultColWidth="11" defaultRowHeight="15.75" x14ac:dyDescent="0.25"/>
  <sheetData/>
  <sheetProtection algorithmName="SHA-512" hashValue="t+45JSo7siZmScMwFRKhXY+EvCq7rbGrRX8QTdGVqoOm/ggOTX8r68OMc6NP6EyLChL3j3jejQrMaWTh6oTXIA==" saltValue="LTJL8KuGuEqb2axMDxjaDw==" spinCount="100000" sheet="1" objects="1" scenarios="1"/>
  <pageMargins left="0.59055118110236227" right="0.59055118110236227" top="0.59055118110236227" bottom="0.59055118110236227" header="0.31496062992125984" footer="0.31496062992125984"/>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2:L108"/>
  <sheetViews>
    <sheetView zoomScale="110" zoomScaleNormal="110" workbookViewId="0">
      <selection activeCell="B115" sqref="B115"/>
    </sheetView>
  </sheetViews>
  <sheetFormatPr defaultRowHeight="15.75" x14ac:dyDescent="0.25"/>
  <cols>
    <col min="2" max="2" width="39" customWidth="1"/>
    <col min="3" max="3" width="20.125" customWidth="1"/>
    <col min="4" max="4" width="15" customWidth="1"/>
    <col min="5" max="5" width="22.625" customWidth="1"/>
    <col min="8" max="8" width="10.375" customWidth="1"/>
    <col min="9" max="9" width="14.125" customWidth="1"/>
    <col min="10" max="10" width="12.5" customWidth="1"/>
    <col min="11" max="11" width="13.75" customWidth="1"/>
    <col min="12" max="12" width="43.75" customWidth="1"/>
  </cols>
  <sheetData>
    <row r="2" spans="2:12" x14ac:dyDescent="0.25">
      <c r="B2" s="92" t="s">
        <v>71</v>
      </c>
      <c r="D2" s="92" t="s">
        <v>260</v>
      </c>
      <c r="H2" s="759" t="s">
        <v>267</v>
      </c>
      <c r="I2" s="760"/>
      <c r="J2" s="760"/>
      <c r="K2" s="760"/>
      <c r="L2" s="761"/>
    </row>
    <row r="3" spans="2:12" x14ac:dyDescent="0.25">
      <c r="B3" s="93" t="s">
        <v>2</v>
      </c>
      <c r="D3" s="93" t="s">
        <v>2</v>
      </c>
      <c r="H3" s="71" t="s">
        <v>264</v>
      </c>
      <c r="I3" s="72" t="s">
        <v>245</v>
      </c>
      <c r="J3" s="72" t="s">
        <v>265</v>
      </c>
      <c r="K3" s="72" t="s">
        <v>266</v>
      </c>
      <c r="L3" s="73" t="s">
        <v>271</v>
      </c>
    </row>
    <row r="4" spans="2:12" ht="16.5" thickBot="1" x14ac:dyDescent="0.3">
      <c r="B4" s="93" t="s">
        <v>3</v>
      </c>
      <c r="D4" s="94" t="s">
        <v>3</v>
      </c>
      <c r="H4" s="71" t="s">
        <v>270</v>
      </c>
      <c r="I4" s="72" t="s">
        <v>270</v>
      </c>
      <c r="J4" s="72" t="s">
        <v>270</v>
      </c>
      <c r="K4" s="72" t="s">
        <v>270</v>
      </c>
      <c r="L4" s="762" t="str">
        <f>IF(AND(H6="N",I6="N",J6="N",K6="N"),"Nejprve vyplňte předchozí list za žadatele.",IF(AND(H6="A",I6="N",J6="N",K6="N"),'2. Účetnictví'!E4,IF(AND(H6="N",I6="A",J6="N",K6="N"),'2. Jednoduché účetnictví '!E4,IF(AND(H6="N",I6="N",J6="A",K6="N"),'2. Daňová evidence'!E4,IF(AND(H6="N",I6="N",J6="N",K6="A"),'2. Paušální (výdaje, daň)'!E4,"Duplicitní zápis NÁZVU na předchozích listech!")))))</f>
        <v>Nejprve vyplňte předchozí list za žadatele.</v>
      </c>
    </row>
    <row r="5" spans="2:12" ht="16.5" thickBot="1" x14ac:dyDescent="0.3">
      <c r="B5" s="94" t="s">
        <v>368</v>
      </c>
      <c r="H5" s="71">
        <f>LEN('2. Účetnictví'!E4)</f>
        <v>0</v>
      </c>
      <c r="I5" s="72">
        <f>LEN('2. Jednoduché účetnictví '!E4)</f>
        <v>0</v>
      </c>
      <c r="J5" s="72">
        <f>LEN('2. Daňová evidence'!E4)</f>
        <v>0</v>
      </c>
      <c r="K5" s="72">
        <f>LEN('2. Paušální (výdaje, daň)'!E4)</f>
        <v>0</v>
      </c>
      <c r="L5" s="763"/>
    </row>
    <row r="6" spans="2:12" ht="16.5" thickBot="1" x14ac:dyDescent="0.3">
      <c r="H6" s="74" t="str">
        <f>IF(H5&lt;3,"N","A")</f>
        <v>N</v>
      </c>
      <c r="I6" s="75" t="str">
        <f>IF(I5&lt;3,"N","A")</f>
        <v>N</v>
      </c>
      <c r="J6" s="75" t="str">
        <f>IF(J5&lt;3,"N","A")</f>
        <v>N</v>
      </c>
      <c r="K6" s="75" t="str">
        <f>IF(K5&lt;3,"N","A")</f>
        <v>N</v>
      </c>
      <c r="L6" s="764"/>
    </row>
    <row r="7" spans="2:12" ht="16.5" thickBot="1" x14ac:dyDescent="0.3">
      <c r="B7" s="92" t="s">
        <v>71</v>
      </c>
    </row>
    <row r="8" spans="2:12" x14ac:dyDescent="0.25">
      <c r="B8" s="93" t="s">
        <v>374</v>
      </c>
      <c r="H8" s="759" t="s">
        <v>268</v>
      </c>
      <c r="I8" s="760"/>
      <c r="J8" s="760"/>
      <c r="K8" s="760"/>
      <c r="L8" s="761"/>
    </row>
    <row r="9" spans="2:12" ht="16.5" thickBot="1" x14ac:dyDescent="0.3">
      <c r="B9" s="94" t="s">
        <v>375</v>
      </c>
      <c r="H9" s="71" t="s">
        <v>264</v>
      </c>
      <c r="I9" s="72" t="s">
        <v>245</v>
      </c>
      <c r="J9" s="72" t="s">
        <v>265</v>
      </c>
      <c r="K9" s="72" t="s">
        <v>269</v>
      </c>
      <c r="L9" s="73" t="s">
        <v>271</v>
      </c>
    </row>
    <row r="10" spans="2:12" x14ac:dyDescent="0.25">
      <c r="H10" s="71" t="s">
        <v>270</v>
      </c>
      <c r="I10" s="72" t="s">
        <v>270</v>
      </c>
      <c r="J10" s="72" t="s">
        <v>270</v>
      </c>
      <c r="K10" s="72" t="s">
        <v>270</v>
      </c>
      <c r="L10" s="757" t="str">
        <f>IF(AND(H12="N",I12="N",J12="N",K12="N"),"Nejprve vyplňte předchozí list za žadatele.",IF(AND(H12="A",I12="N",J12="N",K12="N"),'2. Účetnictví'!E6,IF(AND(H12="N",I12="A",J12="N",K12="N"),'2. Jednoduché účetnictví '!E6,IF(AND(H12="N",I12="N",J12="A",K12="N"),'2. Daňová evidence'!E6,IF(AND(H12="N",I12="N",J12="N",K12="A"),'2. Paušální (výdaje, daň)'!E6,"Duplicitní zápis IČ na předchozích listech!")))))</f>
        <v>Nejprve vyplňte předchozí list za žadatele.</v>
      </c>
    </row>
    <row r="11" spans="2:12" ht="16.5" thickBot="1" x14ac:dyDescent="0.3">
      <c r="H11" s="71">
        <f>LEN('2. Účetnictví'!E6)</f>
        <v>0</v>
      </c>
      <c r="I11" s="72">
        <f>LEN('2. Jednoduché účetnictví '!E6)</f>
        <v>0</v>
      </c>
      <c r="J11" s="72">
        <f>LEN('2. Daňová evidence'!E6)</f>
        <v>0</v>
      </c>
      <c r="K11" s="72">
        <f>LEN('2. Paušální (výdaje, daň)'!E6)</f>
        <v>0</v>
      </c>
      <c r="L11" s="757"/>
    </row>
    <row r="12" spans="2:12" ht="16.5" thickBot="1" x14ac:dyDescent="0.3">
      <c r="B12" s="92" t="s">
        <v>71</v>
      </c>
      <c r="H12" s="74" t="str">
        <f>IF(H11&lt;5,"N","A")</f>
        <v>N</v>
      </c>
      <c r="I12" s="75" t="str">
        <f>IF(I11&lt;5,"N","A")</f>
        <v>N</v>
      </c>
      <c r="J12" s="75" t="str">
        <f>IF(J11&lt;5,"N","A")</f>
        <v>N</v>
      </c>
      <c r="K12" s="75" t="str">
        <f>IF(K11&lt;5,"N","A")</f>
        <v>N</v>
      </c>
      <c r="L12" s="758"/>
    </row>
    <row r="13" spans="2:12" ht="16.5" thickBot="1" x14ac:dyDescent="0.3">
      <c r="B13" s="93" t="s">
        <v>390</v>
      </c>
    </row>
    <row r="14" spans="2:12" x14ac:dyDescent="0.25">
      <c r="B14" s="93" t="s">
        <v>398</v>
      </c>
      <c r="H14" s="759" t="s">
        <v>274</v>
      </c>
      <c r="I14" s="760"/>
      <c r="J14" s="760"/>
      <c r="K14" s="760"/>
      <c r="L14" s="761"/>
    </row>
    <row r="15" spans="2:12" x14ac:dyDescent="0.25">
      <c r="B15" s="93" t="s">
        <v>391</v>
      </c>
      <c r="H15" s="71" t="s">
        <v>264</v>
      </c>
      <c r="I15" s="72" t="s">
        <v>245</v>
      </c>
      <c r="J15" s="72" t="s">
        <v>265</v>
      </c>
      <c r="K15" s="72" t="s">
        <v>269</v>
      </c>
      <c r="L15" s="73" t="s">
        <v>271</v>
      </c>
    </row>
    <row r="16" spans="2:12" ht="16.5" thickBot="1" x14ac:dyDescent="0.3">
      <c r="B16" s="94" t="s">
        <v>399</v>
      </c>
      <c r="H16" s="71" t="s">
        <v>270</v>
      </c>
      <c r="I16" s="72" t="s">
        <v>270</v>
      </c>
      <c r="J16" s="72" t="s">
        <v>270</v>
      </c>
      <c r="K16" s="72" t="s">
        <v>270</v>
      </c>
      <c r="L16" s="757" t="str">
        <f>IF(AND(H18="N",I18="N",J18="N",K18="N"),"Nejprve vyplňte předchozí list za žadatele.",IF(AND(H18="A",I18="N",J18="N",K18="N"),'2. Účetnictví'!I12,IF(AND(H18="N",I18="A",J18="N",K18="N"),'2. Jednoduché účetnictví '!I11,IF(AND(H18="N",I18="N",J18="A",K18="N"),'2. Daňová evidence'!I11,IF(AND(H18="N",I18="N",J18="N",K18="A"),'2. Paušální (výdaje, daň)'!I11,"Duplicitní zápis ROKU na předchozích listech!")))))</f>
        <v>Nejprve vyplňte předchozí list za žadatele.</v>
      </c>
    </row>
    <row r="17" spans="2:12" ht="16.5" thickBot="1" x14ac:dyDescent="0.3">
      <c r="H17" s="71">
        <f>LEN('2. Účetnictví'!E11)</f>
        <v>0</v>
      </c>
      <c r="I17" s="72">
        <f>LEN('2. Jednoduché účetnictví '!E10)</f>
        <v>0</v>
      </c>
      <c r="J17" s="72">
        <f>LEN('2. Daňová evidence'!E10)</f>
        <v>0</v>
      </c>
      <c r="K17" s="72">
        <f>LEN('2. Paušální (výdaje, daň)'!E10)</f>
        <v>0</v>
      </c>
      <c r="L17" s="757"/>
    </row>
    <row r="18" spans="2:12" ht="16.5" thickBot="1" x14ac:dyDescent="0.3">
      <c r="B18" s="92" t="s">
        <v>71</v>
      </c>
      <c r="H18" s="74" t="str">
        <f>IF(H17=4,"A","N")</f>
        <v>N</v>
      </c>
      <c r="I18" s="75" t="str">
        <f>IF(I17=4,"A","N")</f>
        <v>N</v>
      </c>
      <c r="J18" s="75" t="str">
        <f>IF(J17=4,"A","N")</f>
        <v>N</v>
      </c>
      <c r="K18" s="75" t="str">
        <f>IF(K17=4,"A","N")</f>
        <v>N</v>
      </c>
      <c r="L18" s="758"/>
    </row>
    <row r="19" spans="2:12" ht="16.5" thickBot="1" x14ac:dyDescent="0.3">
      <c r="B19" s="93" t="s">
        <v>2</v>
      </c>
    </row>
    <row r="20" spans="2:12" ht="16.5" thickBot="1" x14ac:dyDescent="0.3">
      <c r="B20" s="94" t="s">
        <v>3</v>
      </c>
      <c r="H20" s="759" t="s">
        <v>497</v>
      </c>
      <c r="I20" s="760"/>
      <c r="J20" s="760"/>
      <c r="K20" s="760"/>
      <c r="L20" s="761"/>
    </row>
    <row r="21" spans="2:12" ht="16.5" thickBot="1" x14ac:dyDescent="0.3">
      <c r="H21" s="71" t="s">
        <v>264</v>
      </c>
      <c r="I21" s="72" t="s">
        <v>245</v>
      </c>
      <c r="J21" s="72" t="s">
        <v>265</v>
      </c>
      <c r="K21" s="72" t="s">
        <v>269</v>
      </c>
      <c r="L21" s="73" t="s">
        <v>271</v>
      </c>
    </row>
    <row r="22" spans="2:12" x14ac:dyDescent="0.25">
      <c r="B22" s="95" t="s">
        <v>71</v>
      </c>
      <c r="C22" s="96" t="s">
        <v>285</v>
      </c>
      <c r="E22" s="101" t="s">
        <v>320</v>
      </c>
      <c r="H22" s="71" t="s">
        <v>270</v>
      </c>
      <c r="I22" s="72" t="s">
        <v>270</v>
      </c>
      <c r="J22" s="72" t="s">
        <v>270</v>
      </c>
      <c r="K22" s="72" t="s">
        <v>270</v>
      </c>
      <c r="L22" s="757" t="str">
        <f>IF(AND(H24="N",I24="N",J24="N",K24="N"),"Nejprve vyplňte předchozí list za žadatele.",IF(AND(H24="A",I24="N",J24="N",K24="N"),'2. Účetnictví'!E11,IF(AND(H24="N",I24="A",J24="N",K24="N"),'2. Jednoduché účetnictví '!E10,IF(AND(H24="N",I24="N",J24="A",K24="N"),'2. Daňová evidence'!E10,IF(AND(H24="N",I24="N",J24="N",K24="A"),'2. Paušální (výdaje, daň)'!E10,"Duplicitní zápis ROKU na předchozích listech!")))))</f>
        <v>Nejprve vyplňte předchozí list za žadatele.</v>
      </c>
    </row>
    <row r="23" spans="2:12" ht="16.5" thickBot="1" x14ac:dyDescent="0.3">
      <c r="B23" s="97" t="s">
        <v>277</v>
      </c>
      <c r="C23" s="98">
        <v>410</v>
      </c>
      <c r="E23" s="102" t="s">
        <v>321</v>
      </c>
      <c r="H23" s="71">
        <f>LEN('2. Účetnictví'!E11)</f>
        <v>0</v>
      </c>
      <c r="I23" s="72">
        <f>LEN('2. Jednoduché účetnictví '!E10)</f>
        <v>0</v>
      </c>
      <c r="J23" s="72">
        <f>LEN('2. Daňová evidence'!E10)</f>
        <v>0</v>
      </c>
      <c r="K23" s="72">
        <f>LEN('2. Paušální (výdaje, daň)'!E10)</f>
        <v>0</v>
      </c>
      <c r="L23" s="757"/>
    </row>
    <row r="24" spans="2:12" ht="16.5" thickBot="1" x14ac:dyDescent="0.3">
      <c r="B24" s="97" t="s">
        <v>276</v>
      </c>
      <c r="C24" s="98">
        <v>500</v>
      </c>
      <c r="E24" s="76">
        <f>IF('2. Účetnictví'!E15=Výpočty!B23,1,IF('2. Účetnictví'!E15=Výpočty!B28,1,0))</f>
        <v>0</v>
      </c>
      <c r="H24" s="74" t="str">
        <f>IF(H23=4,"A","N")</f>
        <v>N</v>
      </c>
      <c r="I24" s="75" t="str">
        <f>IF(I23=4,"A","N")</f>
        <v>N</v>
      </c>
      <c r="J24" s="75" t="str">
        <f>IF(J23=4,"A","N")</f>
        <v>N</v>
      </c>
      <c r="K24" s="75" t="str">
        <f>IF(K23=4,"A","N")</f>
        <v>N</v>
      </c>
      <c r="L24" s="758"/>
    </row>
    <row r="25" spans="2:12" ht="16.5" thickBot="1" x14ac:dyDescent="0.3">
      <c r="B25" s="97" t="s">
        <v>278</v>
      </c>
      <c r="C25" s="98">
        <v>501</v>
      </c>
    </row>
    <row r="26" spans="2:12" x14ac:dyDescent="0.25">
      <c r="B26" s="97" t="s">
        <v>279</v>
      </c>
      <c r="C26" s="98">
        <v>502</v>
      </c>
      <c r="E26" s="101" t="s">
        <v>320</v>
      </c>
    </row>
    <row r="27" spans="2:12" ht="16.5" thickBot="1" x14ac:dyDescent="0.3">
      <c r="B27" s="97" t="s">
        <v>280</v>
      </c>
      <c r="C27" s="98">
        <v>503</v>
      </c>
      <c r="E27" s="102" t="s">
        <v>322</v>
      </c>
      <c r="H27" s="140" t="s">
        <v>471</v>
      </c>
      <c r="I27" s="141"/>
      <c r="J27" s="141"/>
      <c r="K27" s="141"/>
      <c r="L27" s="141"/>
    </row>
    <row r="28" spans="2:12" ht="16.5" thickBot="1" x14ac:dyDescent="0.3">
      <c r="B28" s="97" t="s">
        <v>281</v>
      </c>
      <c r="C28" s="98">
        <v>504</v>
      </c>
      <c r="E28" s="76">
        <f>IF('2. Účetnictví'!E15=Výpočty!B28,1,IF('2. Účetnictví'!E15=Výpočty!B23,1,IF('2. Účetnictví'!E15=Výpočty!B25,1,IF('2. Účetnictví'!E15=Výpočty!B27,1,0))))</f>
        <v>0</v>
      </c>
      <c r="H28" s="141" t="s">
        <v>472</v>
      </c>
      <c r="I28" s="141"/>
      <c r="J28" s="141"/>
      <c r="K28" s="141"/>
      <c r="L28" s="141"/>
    </row>
    <row r="29" spans="2:12" x14ac:dyDescent="0.25">
      <c r="B29" s="97" t="s">
        <v>282</v>
      </c>
      <c r="C29" s="98"/>
      <c r="H29" s="141" t="s">
        <v>473</v>
      </c>
      <c r="I29" s="141"/>
      <c r="J29" s="141"/>
      <c r="K29" s="141"/>
      <c r="L29" s="141"/>
    </row>
    <row r="30" spans="2:12" x14ac:dyDescent="0.25">
      <c r="B30" s="97" t="s">
        <v>284</v>
      </c>
      <c r="C30" s="98"/>
      <c r="H30" s="141"/>
      <c r="I30" s="141"/>
      <c r="J30" s="141"/>
      <c r="K30" s="141"/>
      <c r="L30" s="141"/>
    </row>
    <row r="31" spans="2:12" ht="16.5" thickBot="1" x14ac:dyDescent="0.3">
      <c r="B31" s="99" t="s">
        <v>283</v>
      </c>
      <c r="C31" s="100"/>
      <c r="H31" s="141" t="s">
        <v>474</v>
      </c>
      <c r="I31" s="141"/>
      <c r="J31" s="141"/>
      <c r="K31" s="141"/>
      <c r="L31" s="141"/>
    </row>
    <row r="32" spans="2:12" x14ac:dyDescent="0.25">
      <c r="H32" s="141" t="s">
        <v>475</v>
      </c>
      <c r="I32" s="141"/>
      <c r="J32" s="141"/>
      <c r="K32" s="141"/>
      <c r="L32" s="141"/>
    </row>
    <row r="35" spans="2:4" x14ac:dyDescent="0.25">
      <c r="B35" s="92" t="s">
        <v>71</v>
      </c>
    </row>
    <row r="36" spans="2:4" x14ac:dyDescent="0.25">
      <c r="B36" s="93" t="s">
        <v>335</v>
      </c>
    </row>
    <row r="37" spans="2:4" ht="16.5" thickBot="1" x14ac:dyDescent="0.3">
      <c r="B37" s="94" t="s">
        <v>336</v>
      </c>
    </row>
    <row r="40" spans="2:4" ht="16.5" thickBot="1" x14ac:dyDescent="0.3"/>
    <row r="41" spans="2:4" x14ac:dyDescent="0.25">
      <c r="B41" s="103" t="s">
        <v>377</v>
      </c>
      <c r="C41" s="104"/>
      <c r="D41" s="105"/>
    </row>
    <row r="42" spans="2:4" x14ac:dyDescent="0.25">
      <c r="B42" s="106" t="s">
        <v>378</v>
      </c>
      <c r="D42" s="98"/>
    </row>
    <row r="43" spans="2:4" x14ac:dyDescent="0.25">
      <c r="B43" s="97"/>
      <c r="D43" s="98"/>
    </row>
    <row r="44" spans="2:4" x14ac:dyDescent="0.25">
      <c r="B44" s="755" t="s">
        <v>379</v>
      </c>
      <c r="C44" s="756"/>
      <c r="D44" s="98"/>
    </row>
    <row r="45" spans="2:4" x14ac:dyDescent="0.25">
      <c r="B45" s="107" t="s">
        <v>380</v>
      </c>
      <c r="C45" s="108" t="str">
        <f>'2. Účetnictví'!E14</f>
        <v>Vyberte variantu</v>
      </c>
      <c r="D45" s="112" t="s">
        <v>382</v>
      </c>
    </row>
    <row r="46" spans="2:4" ht="16.5" thickBot="1" x14ac:dyDescent="0.3">
      <c r="B46" s="109" t="s">
        <v>381</v>
      </c>
      <c r="C46" s="110" t="str">
        <f>'2. Účetnictví'!E19</f>
        <v>Vyberte variantu</v>
      </c>
      <c r="D46" s="111" t="str">
        <f>IF(C45="Právnická osoba",C46,IF(C45="Fyzická osoba podnikající","Ano",IF(C46="Vyberte variantu","","")))</f>
        <v/>
      </c>
    </row>
    <row r="48" spans="2:4" ht="16.5" thickBot="1" x14ac:dyDescent="0.3">
      <c r="B48" s="108" t="s">
        <v>396</v>
      </c>
    </row>
    <row r="49" spans="2:5" x14ac:dyDescent="0.25">
      <c r="B49" s="113" t="s">
        <v>387</v>
      </c>
      <c r="C49" s="104" t="s">
        <v>394</v>
      </c>
      <c r="D49" s="114" t="s">
        <v>386</v>
      </c>
      <c r="E49" s="120" t="s">
        <v>395</v>
      </c>
    </row>
    <row r="50" spans="2:5" x14ac:dyDescent="0.25">
      <c r="B50" s="115">
        <f>YEAR('2. Účetnictví'!E7)</f>
        <v>1900</v>
      </c>
      <c r="C50" s="116" t="str">
        <f>IF(B50&gt;2000,B50,"")</f>
        <v/>
      </c>
      <c r="D50" s="117" t="str">
        <f>IF(C50="","",C50-1)</f>
        <v/>
      </c>
      <c r="E50" s="121" t="str">
        <f>IF(C50="","",C50-2)</f>
        <v/>
      </c>
    </row>
    <row r="51" spans="2:5" x14ac:dyDescent="0.25">
      <c r="B51" s="118"/>
      <c r="C51" s="9"/>
      <c r="D51" s="9"/>
      <c r="E51" s="122"/>
    </row>
    <row r="52" spans="2:5" x14ac:dyDescent="0.25">
      <c r="B52" s="118"/>
      <c r="C52" s="9"/>
      <c r="E52" s="122"/>
    </row>
    <row r="53" spans="2:5" x14ac:dyDescent="0.25">
      <c r="B53" s="123" t="s">
        <v>389</v>
      </c>
      <c r="C53" s="9"/>
      <c r="E53" s="122"/>
    </row>
    <row r="54" spans="2:5" x14ac:dyDescent="0.25">
      <c r="B54" s="124" t="s">
        <v>388</v>
      </c>
      <c r="C54" s="9"/>
      <c r="D54" s="15"/>
      <c r="E54" s="98"/>
    </row>
    <row r="55" spans="2:5" x14ac:dyDescent="0.25">
      <c r="B55" s="123" t="s">
        <v>400</v>
      </c>
      <c r="C55" s="9"/>
      <c r="D55" s="9"/>
      <c r="E55" s="122"/>
    </row>
    <row r="56" spans="2:5" x14ac:dyDescent="0.25">
      <c r="B56" s="97" t="s">
        <v>401</v>
      </c>
      <c r="C56" s="9"/>
      <c r="D56" s="9"/>
      <c r="E56" s="125"/>
    </row>
    <row r="57" spans="2:5" x14ac:dyDescent="0.25">
      <c r="B57" s="97" t="str">
        <f>B54&amp;D50</f>
        <v xml:space="preserve">Způsob podání daňového přiznání za účetní období: </v>
      </c>
      <c r="C57" s="9"/>
      <c r="E57" s="125"/>
    </row>
    <row r="58" spans="2:5" ht="16.5" thickBot="1" x14ac:dyDescent="0.3">
      <c r="B58" s="99" t="str">
        <f>B55&amp;D50</f>
        <v xml:space="preserve">Žadatel podal (tj. uzavřel) daňové přiznání za účetní období: </v>
      </c>
      <c r="C58" s="119"/>
      <c r="D58" s="119"/>
      <c r="E58" s="100"/>
    </row>
    <row r="59" spans="2:5" ht="16.5" thickBot="1" x14ac:dyDescent="0.3"/>
    <row r="60" spans="2:5" ht="16.5" thickBot="1" x14ac:dyDescent="0.3">
      <c r="B60" s="92" t="s">
        <v>402</v>
      </c>
    </row>
    <row r="61" spans="2:5" ht="16.5" thickBot="1" x14ac:dyDescent="0.3">
      <c r="B61" s="126" t="str">
        <f>IF(OR('3. Skupina podniků'!E8="Nejprve vyplňte předchozí list za žadatele.",'3. Skupina podniků'!E8="Duplicitní zápis ROKU na předchozích listech!"),"Chyba v části I.",'3. Skupina podniků'!E8)</f>
        <v>Chyba v části I.</v>
      </c>
    </row>
    <row r="62" spans="2:5" ht="16.5" thickBot="1" x14ac:dyDescent="0.3">
      <c r="B62" s="127" t="str">
        <f>IF(OR(B61="Chyba v části I.",B61=""),"Chyba v části I.",B61-1)</f>
        <v>Chyba v části I.</v>
      </c>
    </row>
    <row r="63" spans="2:5" x14ac:dyDescent="0.25">
      <c r="C63" t="e">
        <f>B62-1</f>
        <v>#VALUE!</v>
      </c>
    </row>
    <row r="65" spans="2:5" x14ac:dyDescent="0.25">
      <c r="B65" s="108" t="s">
        <v>405</v>
      </c>
    </row>
    <row r="66" spans="2:5" x14ac:dyDescent="0.25">
      <c r="B66" s="108" t="s">
        <v>406</v>
      </c>
    </row>
    <row r="68" spans="2:5" ht="16.5" thickBot="1" x14ac:dyDescent="0.3">
      <c r="B68" s="108" t="s">
        <v>494</v>
      </c>
    </row>
    <row r="69" spans="2:5" x14ac:dyDescent="0.25">
      <c r="B69" s="113" t="s">
        <v>387</v>
      </c>
      <c r="C69" s="104" t="s">
        <v>394</v>
      </c>
      <c r="D69" s="114" t="s">
        <v>386</v>
      </c>
      <c r="E69" s="120" t="s">
        <v>395</v>
      </c>
    </row>
    <row r="70" spans="2:5" x14ac:dyDescent="0.25">
      <c r="B70" s="115">
        <f>YEAR('2. Jednoduché účetnictví '!E7)</f>
        <v>1900</v>
      </c>
      <c r="C70" s="116" t="str">
        <f>IF(B70&gt;2000,B70,"")</f>
        <v/>
      </c>
      <c r="D70" s="117" t="str">
        <f>IF(C70="","",C70-1)</f>
        <v/>
      </c>
      <c r="E70" s="121" t="str">
        <f>IF(C70="","",C70-2)</f>
        <v/>
      </c>
    </row>
    <row r="71" spans="2:5" x14ac:dyDescent="0.25">
      <c r="B71" s="118"/>
      <c r="C71" s="9"/>
      <c r="D71" s="9"/>
      <c r="E71" s="122"/>
    </row>
    <row r="72" spans="2:5" x14ac:dyDescent="0.25">
      <c r="B72" s="118"/>
      <c r="C72" s="9"/>
      <c r="E72" s="122"/>
    </row>
    <row r="73" spans="2:5" x14ac:dyDescent="0.25">
      <c r="B73" s="123" t="s">
        <v>389</v>
      </c>
      <c r="C73" s="9"/>
      <c r="E73" s="122"/>
    </row>
    <row r="74" spans="2:5" x14ac:dyDescent="0.25">
      <c r="B74" s="124" t="s">
        <v>388</v>
      </c>
      <c r="C74" s="9"/>
      <c r="D74" s="15"/>
      <c r="E74" s="98"/>
    </row>
    <row r="75" spans="2:5" x14ac:dyDescent="0.25">
      <c r="B75" s="123" t="s">
        <v>400</v>
      </c>
      <c r="C75" s="9"/>
      <c r="D75" s="9"/>
      <c r="E75" s="122"/>
    </row>
    <row r="76" spans="2:5" x14ac:dyDescent="0.25">
      <c r="B76" s="97" t="s">
        <v>401</v>
      </c>
      <c r="C76" s="9"/>
      <c r="D76" s="9"/>
      <c r="E76" s="125"/>
    </row>
    <row r="77" spans="2:5" x14ac:dyDescent="0.25">
      <c r="B77" s="97" t="str">
        <f>B74&amp;D70</f>
        <v xml:space="preserve">Způsob podání daňového přiznání za účetní období: </v>
      </c>
      <c r="C77" s="9"/>
      <c r="E77" s="125"/>
    </row>
    <row r="78" spans="2:5" ht="16.5" thickBot="1" x14ac:dyDescent="0.3">
      <c r="B78" s="99" t="str">
        <f>B75&amp;D70</f>
        <v xml:space="preserve">Žadatel podal (tj. uzavřel) daňové přiznání za účetní období: </v>
      </c>
      <c r="C78" s="119"/>
      <c r="D78" s="119"/>
      <c r="E78" s="100"/>
    </row>
    <row r="81" spans="2:5" ht="16.5" thickBot="1" x14ac:dyDescent="0.3">
      <c r="B81" s="108" t="s">
        <v>495</v>
      </c>
    </row>
    <row r="82" spans="2:5" x14ac:dyDescent="0.25">
      <c r="B82" s="113" t="s">
        <v>387</v>
      </c>
      <c r="C82" s="104" t="s">
        <v>394</v>
      </c>
      <c r="D82" s="114" t="s">
        <v>386</v>
      </c>
      <c r="E82" s="120" t="s">
        <v>395</v>
      </c>
    </row>
    <row r="83" spans="2:5" x14ac:dyDescent="0.25">
      <c r="B83" s="115">
        <f>YEAR('2. Daňová evidence'!E7)</f>
        <v>1900</v>
      </c>
      <c r="C83" s="116" t="str">
        <f>IF(B83&gt;2000,B83,"")</f>
        <v/>
      </c>
      <c r="D83" s="117" t="str">
        <f>IF(C83="","",C83-1)</f>
        <v/>
      </c>
      <c r="E83" s="121" t="str">
        <f>IF(C83="","",C83-2)</f>
        <v/>
      </c>
    </row>
    <row r="84" spans="2:5" x14ac:dyDescent="0.25">
      <c r="B84" s="118"/>
      <c r="C84" s="9"/>
      <c r="D84" s="9"/>
      <c r="E84" s="122"/>
    </row>
    <row r="85" spans="2:5" x14ac:dyDescent="0.25">
      <c r="B85" s="118"/>
      <c r="C85" s="9"/>
      <c r="E85" s="122"/>
    </row>
    <row r="86" spans="2:5" x14ac:dyDescent="0.25">
      <c r="B86" s="123" t="s">
        <v>389</v>
      </c>
      <c r="C86" s="9"/>
      <c r="E86" s="122"/>
    </row>
    <row r="87" spans="2:5" x14ac:dyDescent="0.25">
      <c r="B87" s="124" t="s">
        <v>388</v>
      </c>
      <c r="C87" s="9"/>
      <c r="D87" s="15"/>
      <c r="E87" s="98"/>
    </row>
    <row r="88" spans="2:5" x14ac:dyDescent="0.25">
      <c r="B88" s="123" t="s">
        <v>400</v>
      </c>
      <c r="C88" s="9"/>
      <c r="D88" s="9"/>
      <c r="E88" s="122"/>
    </row>
    <row r="89" spans="2:5" x14ac:dyDescent="0.25">
      <c r="B89" s="97" t="s">
        <v>401</v>
      </c>
      <c r="C89" s="9"/>
      <c r="D89" s="9"/>
      <c r="E89" s="125"/>
    </row>
    <row r="90" spans="2:5" x14ac:dyDescent="0.25">
      <c r="B90" s="97" t="str">
        <f>B87&amp;D83</f>
        <v xml:space="preserve">Způsob podání daňového přiznání za účetní období: </v>
      </c>
      <c r="C90" s="9"/>
      <c r="E90" s="125"/>
    </row>
    <row r="91" spans="2:5" ht="16.5" thickBot="1" x14ac:dyDescent="0.3">
      <c r="B91" s="99" t="str">
        <f>B88&amp;D83</f>
        <v xml:space="preserve">Žadatel podal (tj. uzavřel) daňové přiznání za účetní období: </v>
      </c>
      <c r="C91" s="119"/>
      <c r="D91" s="119"/>
      <c r="E91" s="100"/>
    </row>
    <row r="94" spans="2:5" ht="16.5" thickBot="1" x14ac:dyDescent="0.3">
      <c r="B94" s="108" t="s">
        <v>496</v>
      </c>
    </row>
    <row r="95" spans="2:5" x14ac:dyDescent="0.25">
      <c r="B95" s="113" t="s">
        <v>387</v>
      </c>
      <c r="C95" s="104" t="s">
        <v>394</v>
      </c>
      <c r="D95" s="114" t="s">
        <v>386</v>
      </c>
      <c r="E95" s="120" t="s">
        <v>395</v>
      </c>
    </row>
    <row r="96" spans="2:5" x14ac:dyDescent="0.25">
      <c r="B96" s="115">
        <f>YEAR('2. Paušální (výdaje, daň)'!E7)</f>
        <v>1900</v>
      </c>
      <c r="C96" s="116" t="str">
        <f>IF(B96&gt;2000,B96,"")</f>
        <v/>
      </c>
      <c r="D96" s="117" t="str">
        <f>IF(C96="","",C96-1)</f>
        <v/>
      </c>
      <c r="E96" s="121" t="str">
        <f>IF(C96="","",C96-2)</f>
        <v/>
      </c>
    </row>
    <row r="97" spans="2:5" x14ac:dyDescent="0.25">
      <c r="B97" s="118"/>
      <c r="C97" s="9"/>
      <c r="D97" s="9"/>
      <c r="E97" s="122"/>
    </row>
    <row r="98" spans="2:5" x14ac:dyDescent="0.25">
      <c r="B98" s="118"/>
      <c r="C98" s="9"/>
      <c r="E98" s="122"/>
    </row>
    <row r="99" spans="2:5" x14ac:dyDescent="0.25">
      <c r="B99" s="123" t="s">
        <v>389</v>
      </c>
      <c r="C99" s="9"/>
      <c r="E99" s="122"/>
    </row>
    <row r="100" spans="2:5" x14ac:dyDescent="0.25">
      <c r="B100" s="124" t="s">
        <v>388</v>
      </c>
      <c r="C100" s="9"/>
      <c r="D100" s="15"/>
      <c r="E100" s="98"/>
    </row>
    <row r="101" spans="2:5" x14ac:dyDescent="0.25">
      <c r="B101" s="123" t="s">
        <v>400</v>
      </c>
      <c r="C101" s="9"/>
      <c r="D101" s="9"/>
      <c r="E101" s="122"/>
    </row>
    <row r="102" spans="2:5" x14ac:dyDescent="0.25">
      <c r="B102" s="97" t="s">
        <v>401</v>
      </c>
      <c r="C102" s="9"/>
      <c r="D102" s="9"/>
      <c r="E102" s="125"/>
    </row>
    <row r="103" spans="2:5" x14ac:dyDescent="0.25">
      <c r="B103" s="97" t="str">
        <f>B100&amp;D96</f>
        <v xml:space="preserve">Způsob podání daňového přiznání za účetní období: </v>
      </c>
      <c r="C103" s="9"/>
      <c r="E103" s="125"/>
    </row>
    <row r="104" spans="2:5" ht="16.5" thickBot="1" x14ac:dyDescent="0.3">
      <c r="B104" s="99" t="str">
        <f>B101&amp;D96</f>
        <v xml:space="preserve">Žadatel podal (tj. uzavřel) daňové přiznání za účetní období: </v>
      </c>
      <c r="C104" s="119"/>
      <c r="D104" s="119"/>
      <c r="E104" s="100"/>
    </row>
    <row r="108" spans="2:5" x14ac:dyDescent="0.25">
      <c r="B108" s="248"/>
    </row>
  </sheetData>
  <sheetProtection algorithmName="SHA-512" hashValue="JaIECr3y0TYtlxrNAcoyCM5trvATlCIOSJ/boZscR9VzGc1Mkxvjxs8ZEF3evCCgtYLhc4Bq4797NqSRk2DN3A==" saltValue="1CeKb0uDEY9LrG7U+66SWw==" spinCount="100000" sheet="1"/>
  <mergeCells count="9">
    <mergeCell ref="B44:C44"/>
    <mergeCell ref="L16:L18"/>
    <mergeCell ref="H2:L2"/>
    <mergeCell ref="H8:L8"/>
    <mergeCell ref="L4:L6"/>
    <mergeCell ref="L10:L12"/>
    <mergeCell ref="H14:L14"/>
    <mergeCell ref="H20:L20"/>
    <mergeCell ref="L22:L24"/>
  </mergeCells>
  <conditionalFormatting sqref="B62">
    <cfRule type="expression" dxfId="1" priority="1">
      <formula>IF($E$12="ANO",1,0)</formula>
    </cfRule>
    <cfRule type="expression" dxfId="0" priority="2">
      <formula>IF($E$12="ANO",1,0)</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7</vt:i4>
      </vt:variant>
    </vt:vector>
  </HeadingPairs>
  <TitlesOfParts>
    <vt:vector size="22" baseType="lpstr">
      <vt:lpstr>1. PŘEHLED</vt:lpstr>
      <vt:lpstr>2. Účetnictví</vt:lpstr>
      <vt:lpstr>2. Jednoduché účetnictví </vt:lpstr>
      <vt:lpstr>2. Daňová evidence</vt:lpstr>
      <vt:lpstr>2. Paušální (výdaje, daň)</vt:lpstr>
      <vt:lpstr>Veřejný subjekt (410) </vt:lpstr>
      <vt:lpstr>Podnikatel (500)</vt:lpstr>
      <vt:lpstr>Banky a fin. instituce (501)</vt:lpstr>
      <vt:lpstr>Pojišťovny (502)</vt:lpstr>
      <vt:lpstr>Zdrav pojišťovny (503)</vt:lpstr>
      <vt:lpstr>typy žadatelů</vt:lpstr>
      <vt:lpstr>Nepodnikatel (504)</vt:lpstr>
      <vt:lpstr>3. Skupina podniků</vt:lpstr>
      <vt:lpstr>INFORMACE</vt:lpstr>
      <vt:lpstr>Výpočty</vt:lpstr>
      <vt:lpstr>'1. PŘEHLED'!Oblast_tisku</vt:lpstr>
      <vt:lpstr>'2. Daňová evidence'!Oblast_tisku</vt:lpstr>
      <vt:lpstr>'2. Jednoduché účetnictví '!Oblast_tisku</vt:lpstr>
      <vt:lpstr>'2. Paušální (výdaje, daň)'!Oblast_tisku</vt:lpstr>
      <vt:lpstr>'2. Účetnictví'!Oblast_tisku</vt:lpstr>
      <vt:lpstr>'3. Skupina podniků'!Oblast_tisku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Řípa Martin Ing.</cp:lastModifiedBy>
  <cp:lastPrinted>2024-09-10T13:48:37Z</cp:lastPrinted>
  <dcterms:created xsi:type="dcterms:W3CDTF">2018-08-17T12:31:45Z</dcterms:created>
  <dcterms:modified xsi:type="dcterms:W3CDTF">2024-11-05T08:56:47Z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X BARCODE">
    <vt:lpwstr>*000000000*</vt:lpwstr>
  </property>
  <property fmtid="{D5CDD505-2E9C-101B-9397-08002B2CF9AE}" pid="3" name="IX_DOC_TYPE">
    <vt:lpwstr>F825</vt:lpwstr>
  </property>
  <property fmtid="{D5CDD505-2E9C-101B-9397-08002B2CF9AE}" pid="4" name="IX_ENVIRONMENT">
    <vt:lpwstr>PRODUKCE</vt:lpwstr>
  </property>
  <property fmtid="{D5CDD505-2E9C-101B-9397-08002B2CF9AE}" pid="5" name="MSIP_Label_9cdfe1c1-b1b6-43c7-bd25-dc909155e0b9_Enabled">
    <vt:lpwstr>true</vt:lpwstr>
  </property>
  <property fmtid="{D5CDD505-2E9C-101B-9397-08002B2CF9AE}" pid="6" name="MSIP_Label_9cdfe1c1-b1b6-43c7-bd25-dc909155e0b9_SetDate">
    <vt:lpwstr>2024-08-09T08:57:15Z</vt:lpwstr>
  </property>
  <property fmtid="{D5CDD505-2E9C-101B-9397-08002B2CF9AE}" pid="7" name="MSIP_Label_9cdfe1c1-b1b6-43c7-bd25-dc909155e0b9_Method">
    <vt:lpwstr>Standard</vt:lpwstr>
  </property>
  <property fmtid="{D5CDD505-2E9C-101B-9397-08002B2CF9AE}" pid="8" name="MSIP_Label_9cdfe1c1-b1b6-43c7-bd25-dc909155e0b9_Name">
    <vt:lpwstr>Interní informace</vt:lpwstr>
  </property>
  <property fmtid="{D5CDD505-2E9C-101B-9397-08002B2CF9AE}" pid="9" name="MSIP_Label_9cdfe1c1-b1b6-43c7-bd25-dc909155e0b9_SiteId">
    <vt:lpwstr>4d1a3907-6ad7-4739-80b5-b7ed4066a30b</vt:lpwstr>
  </property>
  <property fmtid="{D5CDD505-2E9C-101B-9397-08002B2CF9AE}" pid="10" name="MSIP_Label_9cdfe1c1-b1b6-43c7-bd25-dc909155e0b9_ActionId">
    <vt:lpwstr>775cc35c-b871-4f9f-ae3e-aaaf535f807f</vt:lpwstr>
  </property>
  <property fmtid="{D5CDD505-2E9C-101B-9397-08002B2CF9AE}" pid="11" name="MSIP_Label_9cdfe1c1-b1b6-43c7-bd25-dc909155e0b9_ContentBits">
    <vt:lpwstr>0</vt:lpwstr>
  </property>
</Properties>
</file>